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corp\corpdata\Electric_Rates_Group\Proceedings\GRC\2019 GRC P2\2020-2022 GRC P2 - Jan 2020 Refresh\Ch5 - Marg Dist Costs\Workpapers\"/>
    </mc:Choice>
  </mc:AlternateContent>
  <xr:revisionPtr revIDLastSave="0" documentId="13_ncr:1_{DA25D7DA-F1DB-42CD-AA53-54ED0C72828E}" xr6:coauthVersionLast="36" xr6:coauthVersionMax="36" xr10:uidLastSave="{00000000-0000-0000-0000-000000000000}"/>
  <bookViews>
    <workbookView xWindow="-15" yWindow="4785" windowWidth="15480" windowHeight="2835" tabRatio="805" xr2:uid="{00000000-000D-0000-FFFF-FFFF00000000}"/>
  </bookViews>
  <sheets>
    <sheet name="Tab Descriptions" sheetId="226" r:id="rId1"/>
    <sheet name="Marg Cust Cost Summary" sheetId="120" r:id="rId2"/>
    <sheet name="Marg Cust Cost by Rate Schedule" sheetId="143" r:id="rId3"/>
    <sheet name="Inputs" sheetId="80" r:id="rId4"/>
    <sheet name="Resid Cust Fcst " sheetId="64" r:id="rId5"/>
    <sheet name="Resid TSM UC" sheetId="235" r:id="rId6"/>
    <sheet name="Resid TSM UC Adj" sheetId="164" r:id="rId7"/>
    <sheet name="Resid TSM Summary" sheetId="33" r:id="rId8"/>
    <sheet name="Resid TSM Sum by Rate Schedule" sheetId="42" r:id="rId9"/>
    <sheet name="Resid Cust Cost Summary" sheetId="196" r:id="rId10"/>
    <sheet name="Sch DR TSM" sheetId="165" r:id="rId11"/>
    <sheet name="Sch DM TSM" sheetId="166" r:id="rId12"/>
    <sheet name="Sch DS TSM" sheetId="167" r:id="rId13"/>
    <sheet name="Sch DT TSM" sheetId="168" r:id="rId14"/>
    <sheet name="Sch DT-RV TSM" sheetId="169" r:id="rId15"/>
    <sheet name="Sch DR-TOU TSM" sheetId="170" r:id="rId16"/>
    <sheet name="Sch TOU-DR TSM" sheetId="231" r:id="rId17"/>
    <sheet name="Sch DR-SES TSM" sheetId="171" r:id="rId18"/>
    <sheet name="Sch EV-TOU  TSM" sheetId="172" r:id="rId19"/>
    <sheet name="Sch EV-TOU -2 TSM" sheetId="173" r:id="rId20"/>
    <sheet name="Sm Comm Cust Fcst" sheetId="8" r:id="rId21"/>
    <sheet name="Sm Comm TSM Summary" sheetId="224" r:id="rId22"/>
    <sheet name="Sm Comm Cust Cost Summary" sheetId="225" r:id="rId23"/>
    <sheet name="Sch TOU-A TSM" sheetId="232" r:id="rId24"/>
    <sheet name="Sch TOU-A TSM Summary" sheetId="233" r:id="rId25"/>
    <sheet name="Sch TOU-A Cust Cost Summary" sheetId="234" r:id="rId26"/>
    <sheet name="Sch A-TC TSM" sheetId="91" r:id="rId27"/>
    <sheet name="Sch A-TC TSM Summary" sheetId="174" r:id="rId28"/>
    <sheet name="Sch A-TC Cust Cost Summary" sheetId="198" r:id="rId29"/>
    <sheet name="Sch A-TOU TSM" sheetId="162" r:id="rId30"/>
    <sheet name="Sch A-TOU TSM Summary" sheetId="175" r:id="rId31"/>
    <sheet name="Sch A-TOU Cust Cost Summary" sheetId="199" r:id="rId32"/>
    <sheet name="Sch UM TSM" sheetId="200" r:id="rId33"/>
    <sheet name="Sch UM TSM Summary" sheetId="201" r:id="rId34"/>
    <sheet name="Sch UM Cust Cost Summary" sheetId="202" r:id="rId35"/>
    <sheet name="M-L C&amp;I TSM Summary" sheetId="221" r:id="rId36"/>
    <sheet name="M-L C&amp;I Cust Cost Summary " sheetId="222" r:id="rId37"/>
    <sheet name="Sch OL-TOU Cust Fcst" sheetId="151" r:id="rId38"/>
    <sheet name="Sch OL-TOU TSM" sheetId="160" r:id="rId39"/>
    <sheet name="Sch OL-TOU TSM Summary" sheetId="190" r:id="rId40"/>
    <sheet name="Sch OL-TOU Cust Cost Summary" sheetId="189" r:id="rId41"/>
    <sheet name="Sch AL-TOU Cust Fcst" sheetId="157" r:id="rId42"/>
    <sheet name="Sch AL-TOU TSM" sheetId="159" r:id="rId43"/>
    <sheet name="Sch AL-TOU TSM Summary" sheetId="191" r:id="rId44"/>
    <sheet name="Sch AL-TOU Cust Cost Summary" sheetId="192" r:id="rId45"/>
    <sheet name="Sch DG-R Cust Fcst" sheetId="96" r:id="rId46"/>
    <sheet name="Sch DG-R TSM" sheetId="156" r:id="rId47"/>
    <sheet name="Sch DG-R TSM Summary" sheetId="187" r:id="rId48"/>
    <sheet name="Sch DG-R Cust Cost Summary" sheetId="194" r:id="rId49"/>
    <sheet name="Sch A6-TOU Cust Fcst " sheetId="19" r:id="rId50"/>
    <sheet name="Sch A6-TOU TSM" sheetId="41" r:id="rId51"/>
    <sheet name="Sch A6-TOU TSM Summary" sheetId="193" r:id="rId52"/>
    <sheet name="Sch A6-TOU Cust Cost Summary" sheetId="184" r:id="rId53"/>
    <sheet name="Agric TSM Summary" sheetId="223" r:id="rId54"/>
    <sheet name="Agric Cust Cost Summary" sheetId="220" r:id="rId55"/>
    <sheet name="Sch PA-T-1 Cust Fcst" sheetId="95" r:id="rId56"/>
    <sheet name="Sch PA-T-1 TSM" sheetId="154" r:id="rId57"/>
    <sheet name="Sch PA-T-1 TSM Summary" sheetId="177" r:id="rId58"/>
    <sheet name="Sch PA-T-1 Cust Cost Summary" sheetId="180" r:id="rId59"/>
    <sheet name="Sch TOU-PA Cust Fcst" sheetId="227" r:id="rId60"/>
    <sheet name="Sch TOU-PA TSM" sheetId="228" r:id="rId61"/>
    <sheet name="Sch TOU-PA TSM Summary" sheetId="229" r:id="rId62"/>
    <sheet name="Sch TOU-PA Cust Cost Summary" sheetId="230" r:id="rId63"/>
    <sheet name="Street Light Cust Cost Summary" sheetId="217" r:id="rId64"/>
    <sheet name="Non-Residential TSM UC" sheetId="236" r:id="rId65"/>
    <sheet name="Non-Residential TSM UC Adj" sheetId="79" r:id="rId66"/>
    <sheet name="Total Customers" sheetId="50" r:id="rId67"/>
    <sheet name="Cust Service Cost Allocations" sheetId="53" r:id="rId68"/>
    <sheet name="TSM Cap Cost Allocations" sheetId="82" r:id="rId69"/>
    <sheet name="Distribution O&amp;M Allocations" sheetId="55" r:id="rId70"/>
  </sheets>
  <definedNames>
    <definedName name="_xlnm.Print_Area" localSheetId="54">'Agric Cust Cost Summary'!$A$1:$J$35</definedName>
    <definedName name="_xlnm.Print_Area" localSheetId="53">'Agric TSM Summary'!$A$1:$J$33</definedName>
    <definedName name="_xlnm.Print_Area" localSheetId="67">'Cust Service Cost Allocations'!$A$1:$AH$81</definedName>
    <definedName name="_xlnm.Print_Area" localSheetId="69">'Distribution O&amp;M Allocations'!$A$1:$AH$39</definedName>
    <definedName name="_xlnm.Print_Area" localSheetId="2">'Marg Cust Cost by Rate Schedule'!$A$1:$M$78</definedName>
    <definedName name="_xlnm.Print_Area" localSheetId="1">'Marg Cust Cost Summary'!$A$1:$D$59</definedName>
    <definedName name="_xlnm.Print_Area" localSheetId="36">'M-L C&amp;I Cust Cost Summary '!$A$1:$Q$35</definedName>
    <definedName name="_xlnm.Print_Area" localSheetId="35">'M-L C&amp;I TSM Summary'!$A$1:$Q$33</definedName>
    <definedName name="_xlnm.Print_Area" localSheetId="64">'Non-Residential TSM UC'!$A$1:$Y$42</definedName>
    <definedName name="_xlnm.Print_Area" localSheetId="65">'Non-Residential TSM UC Adj'!$A$1:$Y$42</definedName>
    <definedName name="_xlnm.Print_Area" localSheetId="9">'Resid Cust Cost Summary'!$A$1:$L$37</definedName>
    <definedName name="_xlnm.Print_Area" localSheetId="4">'Resid Cust Fcst '!$A$1:$BZ$44</definedName>
    <definedName name="_xlnm.Print_Area" localSheetId="8">'Resid TSM Sum by Rate Schedule'!$A$1:$L$35</definedName>
    <definedName name="_xlnm.Print_Area" localSheetId="7">'Resid TSM Summary'!$A$1:$M$40</definedName>
    <definedName name="_xlnm.Print_Area" localSheetId="5">'Resid TSM UC'!$A$1:$U$42</definedName>
    <definedName name="_xlnm.Print_Area" localSheetId="6">'Resid TSM UC Adj'!$A$1:$U$42</definedName>
    <definedName name="_xlnm.Print_Area" localSheetId="52">'Sch A6-TOU Cust Cost Summary'!$A$1:$M$35</definedName>
    <definedName name="_xlnm.Print_Area" localSheetId="49">'Sch A6-TOU Cust Fcst '!$A$1:$D$45</definedName>
    <definedName name="_xlnm.Print_Area" localSheetId="50">'Sch A6-TOU TSM'!$A$1:$M$41</definedName>
    <definedName name="_xlnm.Print_Area" localSheetId="51">'Sch A6-TOU TSM Summary'!$A$1:$M$33</definedName>
    <definedName name="_xlnm.Print_Area" localSheetId="44">'Sch AL-TOU Cust Cost Summary'!$A$1:$Q$35</definedName>
    <definedName name="_xlnm.Print_Area" localSheetId="41">'Sch AL-TOU Cust Fcst'!$A$1:$I$45</definedName>
    <definedName name="_xlnm.Print_Area" localSheetId="42">'Sch AL-TOU TSM'!$A$1:$AG$42</definedName>
    <definedName name="_xlnm.Print_Area" localSheetId="43">'Sch AL-TOU TSM Summary'!$A$1:$Q$33</definedName>
    <definedName name="_xlnm.Print_Area" localSheetId="28">'Sch A-TC Cust Cost Summary'!$A$1:$F$37</definedName>
    <definedName name="_xlnm.Print_Area" localSheetId="26">'Sch A-TC TSM'!$A$1:$U$44</definedName>
    <definedName name="_xlnm.Print_Area" localSheetId="27">'Sch A-TC TSM Summary'!$A$1:$F$35</definedName>
    <definedName name="_xlnm.Print_Area" localSheetId="31">'Sch A-TOU Cust Cost Summary'!$A$1:$F$37</definedName>
    <definedName name="_xlnm.Print_Area" localSheetId="29">'Sch A-TOU TSM'!$A$1:$U$44</definedName>
    <definedName name="_xlnm.Print_Area" localSheetId="30">'Sch A-TOU TSM Summary'!$A$1:$F$35</definedName>
    <definedName name="_xlnm.Print_Area" localSheetId="48">'Sch DG-R Cust Cost Summary'!$A$1:$M$35</definedName>
    <definedName name="_xlnm.Print_Area" localSheetId="45">'Sch DG-R Cust Fcst'!$A$1:$H$45</definedName>
    <definedName name="_xlnm.Print_Area" localSheetId="46">'Sch DG-R TSM'!$A$1:$AC$42</definedName>
    <definedName name="_xlnm.Print_Area" localSheetId="47">'Sch DG-R TSM Summary'!$A$1:$M$33</definedName>
    <definedName name="_xlnm.Print_Area" localSheetId="11">'Sch DM TSM'!$A$1:$AC$39</definedName>
    <definedName name="_xlnm.Print_Area" localSheetId="10">'Sch DR TSM'!$A$1:$AC$39</definedName>
    <definedName name="_xlnm.Print_Area" localSheetId="17">'Sch DR-SES TSM'!$A$1:$AC$39</definedName>
    <definedName name="_xlnm.Print_Area" localSheetId="15">'Sch DR-TOU TSM'!$A$1:$AC$39</definedName>
    <definedName name="_xlnm.Print_Area" localSheetId="12">'Sch DS TSM'!$A$1:$AC$39</definedName>
    <definedName name="_xlnm.Print_Area" localSheetId="13">'Sch DT TSM'!$A$1:$AC$39</definedName>
    <definedName name="_xlnm.Print_Area" localSheetId="14">'Sch DT-RV TSM'!$A$1:$AC$39</definedName>
    <definedName name="_xlnm.Print_Area" localSheetId="18">'Sch EV-TOU  TSM'!$A$1:$AC$39</definedName>
    <definedName name="_xlnm.Print_Area" localSheetId="19">'Sch EV-TOU -2 TSM'!$A$1:$AC$39</definedName>
    <definedName name="_xlnm.Print_Area" localSheetId="40">'Sch OL-TOU Cust Cost Summary'!$A$1:$E$35</definedName>
    <definedName name="_xlnm.Print_Area" localSheetId="37">'Sch OL-TOU Cust Fcst'!$A$1:$H$45</definedName>
    <definedName name="_xlnm.Print_Area" localSheetId="38">'Sch OL-TOU TSM'!$A$1:$U$42</definedName>
    <definedName name="_xlnm.Print_Area" localSheetId="39">'Sch OL-TOU TSM Summary'!$A$1:$E$33</definedName>
    <definedName name="_xlnm.Print_Area" localSheetId="58">'Sch PA-T-1 Cust Cost Summary'!$A$1:$J$35</definedName>
    <definedName name="_xlnm.Print_Area" localSheetId="55">'Sch PA-T-1 Cust Fcst'!$A$1:$H$44</definedName>
    <definedName name="_xlnm.Print_Area" localSheetId="56">'Sch PA-T-1 TSM'!$A$1:$AC$41</definedName>
    <definedName name="_xlnm.Print_Area" localSheetId="57">'Sch PA-T-1 TSM Summary'!$A$1:$J$33</definedName>
    <definedName name="_xlnm.Print_Area" localSheetId="25">'Sch TOU-A Cust Cost Summary'!$A$1:$P$37</definedName>
    <definedName name="_xlnm.Print_Area" localSheetId="23">'Sch TOU-A TSM'!$A$1:$AC$44</definedName>
    <definedName name="_xlnm.Print_Area" localSheetId="24">'Sch TOU-A TSM Summary'!$A$1:$P$35</definedName>
    <definedName name="_xlnm.Print_Area" localSheetId="16">'Sch TOU-DR TSM'!$A$1:$AC$39</definedName>
    <definedName name="_xlnm.Print_Area" localSheetId="62">'Sch TOU-PA Cust Cost Summary'!$A$1:$J$35</definedName>
    <definedName name="_xlnm.Print_Area" localSheetId="59">'Sch TOU-PA Cust Fcst'!$A$1:$H$44</definedName>
    <definedName name="_xlnm.Print_Area" localSheetId="60">'Sch TOU-PA TSM'!$A$1:$AC$41</definedName>
    <definedName name="_xlnm.Print_Area" localSheetId="61">'Sch TOU-PA TSM Summary'!$A$1:$J$33</definedName>
    <definedName name="_xlnm.Print_Area" localSheetId="34">'Sch UM Cust Cost Summary'!$A$1:$F$37</definedName>
    <definedName name="_xlnm.Print_Area" localSheetId="32">'Sch UM TSM'!$A$1:$U$44</definedName>
    <definedName name="_xlnm.Print_Area" localSheetId="33">'Sch UM TSM Summary'!$A$1:$F$35</definedName>
    <definedName name="_xlnm.Print_Area" localSheetId="22">'Sm Comm Cust Cost Summary'!$A$1:$P$36</definedName>
    <definedName name="_xlnm.Print_Area" localSheetId="20">'Sm Comm Cust Fcst'!$A$1:$AJ$49</definedName>
    <definedName name="_xlnm.Print_Area" localSheetId="21">'Sm Comm TSM Summary'!$A$1:$P$34</definedName>
    <definedName name="_xlnm.Print_Area" localSheetId="63">'Street Light Cust Cost Summary'!$A$1:$B$47</definedName>
    <definedName name="_xlnm.Print_Area" localSheetId="0">'Tab Descriptions'!$A$1:$D$79</definedName>
    <definedName name="_xlnm.Print_Area" localSheetId="66">'Total Customers'!$A$1:$AH$44</definedName>
    <definedName name="_xlnm.Print_Area" localSheetId="68">'TSM Cap Cost Allocations'!$A$1:$K$36</definedName>
    <definedName name="_xlnm.Print_Titles" localSheetId="67">'Cust Service Cost Allocations'!$A:$A</definedName>
    <definedName name="_xlnm.Print_Titles" localSheetId="69">'Distribution O&amp;M Allocations'!$A:$A</definedName>
    <definedName name="_xlnm.Print_Titles" localSheetId="36">'M-L C&amp;I Cust Cost Summary '!$A:$A</definedName>
    <definedName name="_xlnm.Print_Titles" localSheetId="35">'M-L C&amp;I TSM Summary'!$A:$A</definedName>
    <definedName name="_xlnm.Print_Titles" localSheetId="64">'Non-Residential TSM UC'!$A:$A</definedName>
    <definedName name="_xlnm.Print_Titles" localSheetId="65">'Non-Residential TSM UC Adj'!$A:$A</definedName>
    <definedName name="_xlnm.Print_Titles" localSheetId="4">'Resid Cust Fcst '!$A:$A</definedName>
    <definedName name="_xlnm.Print_Titles" localSheetId="5">'Resid TSM UC'!$A:$A</definedName>
    <definedName name="_xlnm.Print_Titles" localSheetId="6">'Resid TSM UC Adj'!$A:$A</definedName>
    <definedName name="_xlnm.Print_Titles" localSheetId="44">'Sch AL-TOU Cust Cost Summary'!$A:$A</definedName>
    <definedName name="_xlnm.Print_Titles" localSheetId="42">'Sch AL-TOU TSM'!$A:$A</definedName>
    <definedName name="_xlnm.Print_Titles" localSheetId="46">'Sch DG-R TSM'!$A:$A</definedName>
    <definedName name="_xlnm.Print_Titles" localSheetId="11">'Sch DM TSM'!$A:$A</definedName>
    <definedName name="_xlnm.Print_Titles" localSheetId="10">'Sch DR TSM'!$A:$A</definedName>
    <definedName name="_xlnm.Print_Titles" localSheetId="17">'Sch DR-SES TSM'!$A:$A</definedName>
    <definedName name="_xlnm.Print_Titles" localSheetId="15">'Sch DR-TOU TSM'!$A:$A</definedName>
    <definedName name="_xlnm.Print_Titles" localSheetId="12">'Sch DS TSM'!$A:$A</definedName>
    <definedName name="_xlnm.Print_Titles" localSheetId="13">'Sch DT TSM'!$A:$A</definedName>
    <definedName name="_xlnm.Print_Titles" localSheetId="14">'Sch DT-RV TSM'!$A:$A</definedName>
    <definedName name="_xlnm.Print_Titles" localSheetId="18">'Sch EV-TOU  TSM'!$A:$A</definedName>
    <definedName name="_xlnm.Print_Titles" localSheetId="19">'Sch EV-TOU -2 TSM'!$A:$A</definedName>
    <definedName name="_xlnm.Print_Titles" localSheetId="23">'Sch TOU-A TSM'!$A:$A</definedName>
    <definedName name="_xlnm.Print_Titles" localSheetId="16">'Sch TOU-DR TSM'!$A:$A</definedName>
    <definedName name="_xlnm.Print_Titles" localSheetId="20">'Sm Comm Cust Fcst'!$A:$A</definedName>
    <definedName name="_xlnm.Print_Titles" localSheetId="66">'Total Customers'!$A:$A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F9" i="53" l="1"/>
  <c r="L9" i="53" l="1"/>
  <c r="R9" i="53" l="1"/>
  <c r="AA9" i="53" l="1"/>
  <c r="AK39" i="50" l="1"/>
  <c r="AJ39" i="50"/>
  <c r="AL37" i="50"/>
  <c r="AN37" i="50" s="1"/>
  <c r="AL36" i="50"/>
  <c r="AN36" i="50" s="1"/>
  <c r="AL35" i="50"/>
  <c r="AN35" i="50" s="1"/>
  <c r="AL34" i="50"/>
  <c r="AN34" i="50" s="1"/>
  <c r="AL33" i="50"/>
  <c r="AN33" i="50" s="1"/>
  <c r="AL32" i="50"/>
  <c r="AN32" i="50" s="1"/>
  <c r="AL31" i="50"/>
  <c r="AN31" i="50" s="1"/>
  <c r="AL30" i="50"/>
  <c r="AN30" i="50" s="1"/>
  <c r="AL29" i="50"/>
  <c r="AN29" i="50" s="1"/>
  <c r="AL28" i="50"/>
  <c r="AN28" i="50" s="1"/>
  <c r="AL27" i="50"/>
  <c r="AN27" i="50" s="1"/>
  <c r="AL26" i="50"/>
  <c r="AN26" i="50" s="1"/>
  <c r="AL25" i="50"/>
  <c r="AN25" i="50" s="1"/>
  <c r="AL24" i="50"/>
  <c r="AN24" i="50" s="1"/>
  <c r="AL23" i="50"/>
  <c r="AN23" i="50" s="1"/>
  <c r="AL22" i="50"/>
  <c r="AN22" i="50" s="1"/>
  <c r="AL21" i="50"/>
  <c r="AN21" i="50" s="1"/>
  <c r="AL20" i="50"/>
  <c r="AN20" i="50" s="1"/>
  <c r="AL19" i="50"/>
  <c r="AN19" i="50" s="1"/>
  <c r="AL18" i="50"/>
  <c r="AN18" i="50" s="1"/>
  <c r="AL17" i="50"/>
  <c r="AN17" i="50" s="1"/>
  <c r="AL16" i="50"/>
  <c r="AN16" i="50" s="1"/>
  <c r="AL15" i="50"/>
  <c r="AN15" i="50" s="1"/>
  <c r="AL14" i="50"/>
  <c r="AN14" i="50" s="1"/>
  <c r="AL13" i="50"/>
  <c r="AN13" i="50" s="1"/>
  <c r="AL12" i="50"/>
  <c r="AN12" i="50" s="1"/>
  <c r="AL11" i="50"/>
  <c r="AN11" i="50" s="1"/>
  <c r="AL10" i="50"/>
  <c r="AN10" i="50" s="1"/>
  <c r="AL9" i="50"/>
  <c r="AN9" i="50" s="1"/>
  <c r="AL8" i="50"/>
  <c r="AN8" i="50" s="1"/>
  <c r="AL7" i="50"/>
  <c r="AL39" i="50" l="1"/>
  <c r="A3" i="120" l="1"/>
  <c r="A25" i="42" l="1"/>
  <c r="A24" i="217"/>
  <c r="A25" i="217"/>
  <c r="A26" i="42"/>
  <c r="A26" i="217" l="1"/>
  <c r="A27" i="42"/>
  <c r="P30" i="164" l="1"/>
  <c r="T30" i="164"/>
  <c r="F32" i="228"/>
  <c r="G32" i="228"/>
  <c r="H32" i="228"/>
  <c r="F33" i="228"/>
  <c r="G33" i="228"/>
  <c r="H33" i="228"/>
  <c r="F34" i="228"/>
  <c r="G34" i="228"/>
  <c r="H34" i="228"/>
  <c r="F35" i="228"/>
  <c r="G35" i="228"/>
  <c r="H35" i="228"/>
  <c r="F36" i="228"/>
  <c r="G36" i="228"/>
  <c r="H36" i="228"/>
  <c r="F37" i="228"/>
  <c r="G37" i="228"/>
  <c r="H37" i="228"/>
  <c r="B32" i="228"/>
  <c r="C32" i="228"/>
  <c r="D32" i="228"/>
  <c r="B33" i="228"/>
  <c r="C33" i="228"/>
  <c r="D33" i="228"/>
  <c r="B34" i="228"/>
  <c r="C34" i="228"/>
  <c r="D34" i="228"/>
  <c r="B35" i="228"/>
  <c r="C35" i="228"/>
  <c r="D35" i="228"/>
  <c r="B36" i="228"/>
  <c r="C36" i="228"/>
  <c r="D36" i="228"/>
  <c r="B37" i="228"/>
  <c r="C37" i="228"/>
  <c r="D37" i="228"/>
  <c r="B29" i="156"/>
  <c r="C29" i="156"/>
  <c r="D29" i="156"/>
  <c r="B30" i="156"/>
  <c r="C30" i="156"/>
  <c r="D30" i="156"/>
  <c r="B31" i="156"/>
  <c r="C31" i="156"/>
  <c r="D31" i="156"/>
  <c r="B32" i="156"/>
  <c r="E32" i="156" s="1"/>
  <c r="C32" i="156"/>
  <c r="D32" i="156"/>
  <c r="B33" i="156"/>
  <c r="C33" i="156"/>
  <c r="D33" i="156"/>
  <c r="B34" i="156"/>
  <c r="C34" i="156"/>
  <c r="D34" i="156"/>
  <c r="B35" i="156"/>
  <c r="C35" i="156"/>
  <c r="D35" i="156"/>
  <c r="B36" i="156"/>
  <c r="C36" i="156"/>
  <c r="D36" i="156"/>
  <c r="B37" i="156"/>
  <c r="C37" i="156"/>
  <c r="D37" i="156"/>
  <c r="B41" i="96"/>
  <c r="E30" i="156"/>
  <c r="F30" i="232"/>
  <c r="G30" i="232"/>
  <c r="H30" i="232"/>
  <c r="F31" i="232"/>
  <c r="G31" i="232"/>
  <c r="H31" i="232"/>
  <c r="F32" i="232"/>
  <c r="G32" i="232"/>
  <c r="H32" i="232"/>
  <c r="F33" i="232"/>
  <c r="G33" i="232"/>
  <c r="H33" i="232"/>
  <c r="F34" i="232"/>
  <c r="G34" i="232"/>
  <c r="H34" i="232"/>
  <c r="F35" i="232"/>
  <c r="G35" i="232"/>
  <c r="H35" i="232"/>
  <c r="F36" i="232"/>
  <c r="G36" i="232"/>
  <c r="H36" i="232"/>
  <c r="F37" i="232"/>
  <c r="G37" i="232"/>
  <c r="H37" i="232"/>
  <c r="F38" i="232"/>
  <c r="G38" i="232"/>
  <c r="H38" i="232"/>
  <c r="D30" i="232"/>
  <c r="D31" i="232"/>
  <c r="D32" i="232"/>
  <c r="D33" i="232"/>
  <c r="D34" i="232"/>
  <c r="D35" i="232"/>
  <c r="D36" i="232"/>
  <c r="D37" i="232"/>
  <c r="D38" i="232"/>
  <c r="C30" i="232"/>
  <c r="C31" i="232"/>
  <c r="C32" i="232"/>
  <c r="C33" i="232"/>
  <c r="C34" i="232"/>
  <c r="C35" i="232"/>
  <c r="C36" i="232"/>
  <c r="C37" i="232"/>
  <c r="C38" i="232"/>
  <c r="B30" i="232"/>
  <c r="B31" i="232"/>
  <c r="B32" i="232"/>
  <c r="B33" i="232"/>
  <c r="B34" i="232"/>
  <c r="B35" i="232"/>
  <c r="B36" i="232"/>
  <c r="B37" i="232"/>
  <c r="B38" i="232"/>
  <c r="D16" i="79"/>
  <c r="E34" i="156" l="1"/>
  <c r="E36" i="156"/>
  <c r="D16" i="164"/>
  <c r="D16" i="173" s="1"/>
  <c r="B42" i="156"/>
  <c r="E29" i="156"/>
  <c r="E37" i="156"/>
  <c r="C42" i="156"/>
  <c r="E31" i="156"/>
  <c r="E33" i="156"/>
  <c r="D42" i="156"/>
  <c r="E35" i="156"/>
  <c r="D16" i="172" l="1"/>
  <c r="D16" i="171"/>
  <c r="D16" i="167"/>
  <c r="D16" i="165"/>
  <c r="D16" i="166"/>
  <c r="D16" i="170"/>
  <c r="E42" i="156"/>
  <c r="E47" i="156" s="1"/>
  <c r="P30" i="79"/>
  <c r="P31" i="79"/>
  <c r="P32" i="79"/>
  <c r="P33" i="79"/>
  <c r="P34" i="79"/>
  <c r="H30" i="227" l="1"/>
  <c r="H29" i="227"/>
  <c r="H28" i="227"/>
  <c r="H27" i="227"/>
  <c r="H26" i="227"/>
  <c r="F25" i="227"/>
  <c r="F24" i="227"/>
  <c r="F23" i="227"/>
  <c r="F22" i="227"/>
  <c r="H22" i="227" s="1"/>
  <c r="H36" i="8"/>
  <c r="H35" i="8"/>
  <c r="H34" i="8"/>
  <c r="H33" i="8"/>
  <c r="H32" i="8"/>
  <c r="H31" i="8"/>
  <c r="H30" i="8"/>
  <c r="H29" i="8"/>
  <c r="H28" i="8"/>
  <c r="H24" i="227" l="1"/>
  <c r="H23" i="227"/>
  <c r="H25" i="227"/>
  <c r="D16" i="231"/>
  <c r="B40" i="96"/>
  <c r="G30" i="228"/>
  <c r="H30" i="228"/>
  <c r="F30" i="228"/>
  <c r="B31" i="228"/>
  <c r="C31" i="228"/>
  <c r="D31" i="228"/>
  <c r="H31" i="228"/>
  <c r="F31" i="228"/>
  <c r="G31" i="228"/>
  <c r="B39" i="96"/>
  <c r="B38" i="96"/>
  <c r="C29" i="228"/>
  <c r="D29" i="228"/>
  <c r="B29" i="228"/>
  <c r="D16" i="168"/>
  <c r="D16" i="169"/>
  <c r="F29" i="228"/>
  <c r="G29" i="228"/>
  <c r="H29" i="228"/>
  <c r="D30" i="228"/>
  <c r="B30" i="228"/>
  <c r="C30" i="228"/>
  <c r="X37" i="79"/>
  <c r="X36" i="79"/>
  <c r="X35" i="79"/>
  <c r="X34" i="79"/>
  <c r="X33" i="79"/>
  <c r="X32" i="79"/>
  <c r="X31" i="79"/>
  <c r="X30" i="79"/>
  <c r="X29" i="79"/>
  <c r="X28" i="79"/>
  <c r="X27" i="79"/>
  <c r="X26" i="79"/>
  <c r="X25" i="79"/>
  <c r="X24" i="79"/>
  <c r="X23" i="79"/>
  <c r="X22" i="79"/>
  <c r="X21" i="79"/>
  <c r="X20" i="79"/>
  <c r="X19" i="79"/>
  <c r="X18" i="79"/>
  <c r="X17" i="79"/>
  <c r="X16" i="79"/>
  <c r="X15" i="79"/>
  <c r="X14" i="79"/>
  <c r="X13" i="79"/>
  <c r="X12" i="79"/>
  <c r="X11" i="79"/>
  <c r="X10" i="79"/>
  <c r="X9" i="79"/>
  <c r="X8" i="79"/>
  <c r="X7" i="79"/>
  <c r="T37" i="79"/>
  <c r="T36" i="79"/>
  <c r="T35" i="79"/>
  <c r="T34" i="79"/>
  <c r="T33" i="79"/>
  <c r="T32" i="79"/>
  <c r="T31" i="79"/>
  <c r="T30" i="79"/>
  <c r="T29" i="79"/>
  <c r="T28" i="79"/>
  <c r="T27" i="79"/>
  <c r="T26" i="79"/>
  <c r="T25" i="79"/>
  <c r="T24" i="79"/>
  <c r="T23" i="79"/>
  <c r="T22" i="79"/>
  <c r="T21" i="79"/>
  <c r="T20" i="79"/>
  <c r="T19" i="79"/>
  <c r="T18" i="79"/>
  <c r="T17" i="79"/>
  <c r="T16" i="79"/>
  <c r="T15" i="79"/>
  <c r="T14" i="79"/>
  <c r="T13" i="79"/>
  <c r="T12" i="79"/>
  <c r="T11" i="79"/>
  <c r="T10" i="79"/>
  <c r="T9" i="79"/>
  <c r="T8" i="79"/>
  <c r="T7" i="79"/>
  <c r="P29" i="79"/>
  <c r="P28" i="79"/>
  <c r="P27" i="79"/>
  <c r="P26" i="79"/>
  <c r="P25" i="79"/>
  <c r="P24" i="79"/>
  <c r="P23" i="79"/>
  <c r="P22" i="79"/>
  <c r="P21" i="79"/>
  <c r="P20" i="79"/>
  <c r="P19" i="79"/>
  <c r="P18" i="79"/>
  <c r="P17" i="79"/>
  <c r="P16" i="79"/>
  <c r="P15" i="79"/>
  <c r="P14" i="79"/>
  <c r="P13" i="79"/>
  <c r="P12" i="79"/>
  <c r="P11" i="79"/>
  <c r="P10" i="79"/>
  <c r="P9" i="79"/>
  <c r="P8" i="79"/>
  <c r="P7" i="79"/>
  <c r="L28" i="79"/>
  <c r="L27" i="79"/>
  <c r="L26" i="79"/>
  <c r="L25" i="79"/>
  <c r="L24" i="79"/>
  <c r="L23" i="79"/>
  <c r="L22" i="79"/>
  <c r="L21" i="79"/>
  <c r="L20" i="79"/>
  <c r="L19" i="79"/>
  <c r="L18" i="79"/>
  <c r="L17" i="79"/>
  <c r="L16" i="79"/>
  <c r="L15" i="79"/>
  <c r="L14" i="79"/>
  <c r="L13" i="79"/>
  <c r="L12" i="79"/>
  <c r="L11" i="79"/>
  <c r="L10" i="79"/>
  <c r="L9" i="79"/>
  <c r="L8" i="79"/>
  <c r="L7" i="79"/>
  <c r="H17" i="79"/>
  <c r="H16" i="79"/>
  <c r="H15" i="79"/>
  <c r="H14" i="79"/>
  <c r="H13" i="79"/>
  <c r="H12" i="79"/>
  <c r="H11" i="79"/>
  <c r="H10" i="79"/>
  <c r="H9" i="79"/>
  <c r="H8" i="79"/>
  <c r="H7" i="79"/>
  <c r="D15" i="79"/>
  <c r="D14" i="79"/>
  <c r="D13" i="79"/>
  <c r="D12" i="79"/>
  <c r="D11" i="79"/>
  <c r="D10" i="79"/>
  <c r="D9" i="79"/>
  <c r="D8" i="79"/>
  <c r="D7" i="79"/>
  <c r="A1" i="120" l="1"/>
  <c r="D17" i="162" l="1"/>
  <c r="D16" i="160"/>
  <c r="D17" i="91"/>
  <c r="D16" i="159"/>
  <c r="D16" i="156"/>
  <c r="D16" i="154"/>
  <c r="X30" i="171" l="1"/>
  <c r="W31" i="171"/>
  <c r="X31" i="171"/>
  <c r="W32" i="171"/>
  <c r="X32" i="171"/>
  <c r="W33" i="171"/>
  <c r="X33" i="171"/>
  <c r="W34" i="171"/>
  <c r="X34" i="171"/>
  <c r="W35" i="171"/>
  <c r="X35" i="171"/>
  <c r="W36" i="171"/>
  <c r="X36" i="171"/>
  <c r="W37" i="171"/>
  <c r="X37" i="171"/>
  <c r="V8" i="171"/>
  <c r="V9" i="171"/>
  <c r="V10" i="171"/>
  <c r="V11" i="171"/>
  <c r="V12" i="171"/>
  <c r="V13" i="171"/>
  <c r="V14" i="171"/>
  <c r="V15" i="171"/>
  <c r="V16" i="171"/>
  <c r="V17" i="171"/>
  <c r="V18" i="171"/>
  <c r="V19" i="171"/>
  <c r="V20" i="171"/>
  <c r="V21" i="171"/>
  <c r="V22" i="171"/>
  <c r="V23" i="171"/>
  <c r="V24" i="171"/>
  <c r="V25" i="171"/>
  <c r="V26" i="171"/>
  <c r="V27" i="171"/>
  <c r="V28" i="171"/>
  <c r="V29" i="171"/>
  <c r="V30" i="171"/>
  <c r="V31" i="171"/>
  <c r="V32" i="171"/>
  <c r="V33" i="171"/>
  <c r="V34" i="171"/>
  <c r="V35" i="171"/>
  <c r="V36" i="171"/>
  <c r="V37" i="171"/>
  <c r="V7" i="171"/>
  <c r="G29" i="231"/>
  <c r="H29" i="231"/>
  <c r="G30" i="231"/>
  <c r="H30" i="231"/>
  <c r="G31" i="231"/>
  <c r="H31" i="231"/>
  <c r="G32" i="231"/>
  <c r="H32" i="231"/>
  <c r="G33" i="231"/>
  <c r="H33" i="231"/>
  <c r="G34" i="231"/>
  <c r="H34" i="231"/>
  <c r="G35" i="231"/>
  <c r="H35" i="231"/>
  <c r="G36" i="231"/>
  <c r="H36" i="231"/>
  <c r="G37" i="231"/>
  <c r="H37" i="231"/>
  <c r="F29" i="231"/>
  <c r="F30" i="231"/>
  <c r="F31" i="231"/>
  <c r="F32" i="231"/>
  <c r="F33" i="231"/>
  <c r="F34" i="231"/>
  <c r="F35" i="231"/>
  <c r="F36" i="231"/>
  <c r="F37" i="231"/>
  <c r="C29" i="231"/>
  <c r="D29" i="231"/>
  <c r="C30" i="231"/>
  <c r="D30" i="231"/>
  <c r="C31" i="231"/>
  <c r="D31" i="231"/>
  <c r="C32" i="231"/>
  <c r="D32" i="231"/>
  <c r="C33" i="231"/>
  <c r="D33" i="231"/>
  <c r="C34" i="231"/>
  <c r="D34" i="231"/>
  <c r="C35" i="231"/>
  <c r="D35" i="231"/>
  <c r="C36" i="231"/>
  <c r="D36" i="231"/>
  <c r="C37" i="231"/>
  <c r="D37" i="231"/>
  <c r="B29" i="231"/>
  <c r="B30" i="231"/>
  <c r="B31" i="231"/>
  <c r="B32" i="231"/>
  <c r="B33" i="231"/>
  <c r="B34" i="231"/>
  <c r="B35" i="231"/>
  <c r="B36" i="231"/>
  <c r="B37" i="231"/>
  <c r="AD22" i="8" l="1"/>
  <c r="AD23" i="8"/>
  <c r="AD24" i="8"/>
  <c r="AD25" i="8"/>
  <c r="AD26" i="8"/>
  <c r="AD27" i="8"/>
  <c r="A17" i="217" l="1"/>
  <c r="A17" i="230"/>
  <c r="A17" i="229"/>
  <c r="A17" i="180"/>
  <c r="A17" i="177"/>
  <c r="A17" i="220"/>
  <c r="A17" i="223"/>
  <c r="A17" i="184"/>
  <c r="A17" i="193"/>
  <c r="A17" i="194"/>
  <c r="A17" i="187"/>
  <c r="A17" i="192"/>
  <c r="A17" i="191"/>
  <c r="A17" i="189"/>
  <c r="A17" i="190"/>
  <c r="A17" i="222"/>
  <c r="A17" i="221"/>
  <c r="A18" i="202"/>
  <c r="A18" i="201"/>
  <c r="A18" i="199"/>
  <c r="A18" i="175"/>
  <c r="A18" i="198"/>
  <c r="A18" i="174"/>
  <c r="A18" i="234"/>
  <c r="A18" i="233"/>
  <c r="A17" i="42"/>
  <c r="A17" i="225"/>
  <c r="A17" i="224"/>
  <c r="A17" i="196"/>
  <c r="H16" i="156" l="1"/>
  <c r="D15" i="156"/>
  <c r="D11" i="156"/>
  <c r="C20" i="80"/>
  <c r="T29" i="164"/>
  <c r="X29" i="171" s="1"/>
  <c r="P29" i="164"/>
  <c r="P28" i="164"/>
  <c r="L28" i="164"/>
  <c r="T27" i="164"/>
  <c r="X27" i="171" s="1"/>
  <c r="P27" i="164"/>
  <c r="L27" i="164"/>
  <c r="T26" i="164"/>
  <c r="X26" i="171" s="1"/>
  <c r="P26" i="164"/>
  <c r="L26" i="164"/>
  <c r="T25" i="164"/>
  <c r="X25" i="171" s="1"/>
  <c r="P25" i="164"/>
  <c r="L25" i="164"/>
  <c r="P24" i="164"/>
  <c r="L24" i="164"/>
  <c r="T23" i="164"/>
  <c r="X23" i="171" s="1"/>
  <c r="P23" i="164"/>
  <c r="L23" i="164"/>
  <c r="T22" i="164"/>
  <c r="X22" i="171" s="1"/>
  <c r="P22" i="164"/>
  <c r="L22" i="164"/>
  <c r="T21" i="164"/>
  <c r="X21" i="171" s="1"/>
  <c r="P21" i="164"/>
  <c r="L21" i="164"/>
  <c r="P20" i="164"/>
  <c r="L20" i="164"/>
  <c r="T19" i="164"/>
  <c r="X19" i="171" s="1"/>
  <c r="P19" i="164"/>
  <c r="L19" i="164"/>
  <c r="T18" i="164"/>
  <c r="X18" i="171" s="1"/>
  <c r="P18" i="164"/>
  <c r="L18" i="164"/>
  <c r="T17" i="164"/>
  <c r="X17" i="171" s="1"/>
  <c r="P17" i="164"/>
  <c r="L17" i="164"/>
  <c r="D17" i="231" s="1"/>
  <c r="H17" i="164"/>
  <c r="T16" i="164"/>
  <c r="X16" i="171" s="1"/>
  <c r="P16" i="164"/>
  <c r="L16" i="164"/>
  <c r="H16" i="164"/>
  <c r="T15" i="164"/>
  <c r="X15" i="171" s="1"/>
  <c r="P15" i="164"/>
  <c r="L15" i="164"/>
  <c r="H15" i="164"/>
  <c r="D15" i="164"/>
  <c r="T14" i="164"/>
  <c r="X14" i="171" s="1"/>
  <c r="P14" i="164"/>
  <c r="L14" i="164"/>
  <c r="H14" i="164"/>
  <c r="D14" i="164"/>
  <c r="T13" i="164"/>
  <c r="X13" i="171" s="1"/>
  <c r="P13" i="164"/>
  <c r="L13" i="164"/>
  <c r="H13" i="164"/>
  <c r="D13" i="164"/>
  <c r="T12" i="164"/>
  <c r="X12" i="171" s="1"/>
  <c r="P12" i="164"/>
  <c r="L12" i="164"/>
  <c r="H12" i="164"/>
  <c r="D12" i="164"/>
  <c r="T11" i="164"/>
  <c r="X11" i="171" s="1"/>
  <c r="P11" i="164"/>
  <c r="L11" i="164"/>
  <c r="H11" i="164"/>
  <c r="D11" i="164"/>
  <c r="T10" i="164"/>
  <c r="X10" i="171" s="1"/>
  <c r="P10" i="164"/>
  <c r="L10" i="164"/>
  <c r="H10" i="164"/>
  <c r="D10" i="164"/>
  <c r="T9" i="164"/>
  <c r="X9" i="171" s="1"/>
  <c r="P9" i="164"/>
  <c r="L9" i="164"/>
  <c r="H9" i="164"/>
  <c r="D9" i="164"/>
  <c r="T8" i="164"/>
  <c r="X8" i="171" s="1"/>
  <c r="P8" i="164"/>
  <c r="L8" i="164"/>
  <c r="H8" i="164"/>
  <c r="D8" i="164"/>
  <c r="T7" i="164"/>
  <c r="X7" i="171" s="1"/>
  <c r="P7" i="164"/>
  <c r="L7" i="164"/>
  <c r="H7" i="164"/>
  <c r="D7" i="164"/>
  <c r="H25" i="228" l="1"/>
  <c r="D26" i="232"/>
  <c r="D25" i="156"/>
  <c r="H26" i="232"/>
  <c r="D25" i="228"/>
  <c r="H21" i="228"/>
  <c r="D22" i="232"/>
  <c r="D21" i="156"/>
  <c r="H22" i="232"/>
  <c r="D21" i="228"/>
  <c r="D17" i="228"/>
  <c r="D18" i="232"/>
  <c r="D17" i="156"/>
  <c r="H20" i="231"/>
  <c r="D20" i="231"/>
  <c r="H23" i="231"/>
  <c r="D23" i="231"/>
  <c r="H26" i="231"/>
  <c r="D26" i="231"/>
  <c r="H19" i="231"/>
  <c r="D19" i="231"/>
  <c r="H22" i="231"/>
  <c r="D22" i="231"/>
  <c r="H25" i="231"/>
  <c r="D25" i="231"/>
  <c r="H18" i="231"/>
  <c r="D18" i="231"/>
  <c r="H21" i="231"/>
  <c r="D21" i="231"/>
  <c r="H28" i="231"/>
  <c r="D28" i="231"/>
  <c r="H24" i="231"/>
  <c r="D24" i="231"/>
  <c r="H27" i="231"/>
  <c r="D27" i="231"/>
  <c r="T24" i="164"/>
  <c r="X24" i="171" s="1"/>
  <c r="T20" i="164"/>
  <c r="X20" i="171" s="1"/>
  <c r="T28" i="164"/>
  <c r="X28" i="171" s="1"/>
  <c r="D12" i="156"/>
  <c r="D8" i="156"/>
  <c r="H17" i="156"/>
  <c r="D7" i="156"/>
  <c r="D13" i="156"/>
  <c r="D9" i="156"/>
  <c r="D14" i="156"/>
  <c r="D10" i="156"/>
  <c r="D28" i="228" l="1"/>
  <c r="H28" i="228"/>
  <c r="D28" i="156"/>
  <c r="H29" i="232"/>
  <c r="D29" i="232"/>
  <c r="H20" i="232"/>
  <c r="D19" i="228"/>
  <c r="H19" i="228"/>
  <c r="D20" i="232"/>
  <c r="D19" i="156"/>
  <c r="D24" i="228"/>
  <c r="H24" i="228"/>
  <c r="D24" i="156"/>
  <c r="D25" i="232"/>
  <c r="H25" i="232"/>
  <c r="H28" i="232"/>
  <c r="D27" i="228"/>
  <c r="H27" i="228"/>
  <c r="D28" i="232"/>
  <c r="D27" i="156"/>
  <c r="D26" i="156"/>
  <c r="H27" i="232"/>
  <c r="D27" i="232"/>
  <c r="D26" i="228"/>
  <c r="H26" i="228"/>
  <c r="D18" i="156"/>
  <c r="D40" i="156" s="1"/>
  <c r="H18" i="228"/>
  <c r="D19" i="232"/>
  <c r="D18" i="228"/>
  <c r="H19" i="232"/>
  <c r="D20" i="228"/>
  <c r="H20" i="228"/>
  <c r="D20" i="156"/>
  <c r="H21" i="232"/>
  <c r="D21" i="232"/>
  <c r="H24" i="232"/>
  <c r="D23" i="228"/>
  <c r="H23" i="228"/>
  <c r="D24" i="232"/>
  <c r="D23" i="156"/>
  <c r="D22" i="156"/>
  <c r="H23" i="232"/>
  <c r="D23" i="232"/>
  <c r="D22" i="228"/>
  <c r="H22" i="228"/>
  <c r="D39" i="156" l="1"/>
  <c r="D41" i="156"/>
  <c r="J36" i="232"/>
  <c r="J37" i="232"/>
  <c r="J38" i="232"/>
  <c r="V36" i="232"/>
  <c r="V37" i="232"/>
  <c r="V38" i="232"/>
  <c r="N36" i="232"/>
  <c r="O36" i="232"/>
  <c r="P36" i="232"/>
  <c r="N37" i="232"/>
  <c r="O37" i="232"/>
  <c r="P37" i="232"/>
  <c r="N38" i="232"/>
  <c r="O38" i="232"/>
  <c r="P38" i="232"/>
  <c r="K36" i="232"/>
  <c r="L36" i="232"/>
  <c r="K37" i="232"/>
  <c r="L37" i="232"/>
  <c r="K38" i="232"/>
  <c r="L38" i="232"/>
  <c r="AI9" i="8" l="1"/>
  <c r="AI10" i="8"/>
  <c r="AI11" i="8"/>
  <c r="AI12" i="8"/>
  <c r="AI13" i="8"/>
  <c r="AI14" i="8"/>
  <c r="AI15" i="8"/>
  <c r="AI16" i="8"/>
  <c r="AI17" i="8"/>
  <c r="AI18" i="8"/>
  <c r="AI19" i="8"/>
  <c r="AI20" i="8"/>
  <c r="AI21" i="8"/>
  <c r="AI22" i="8"/>
  <c r="AI23" i="8"/>
  <c r="AI24" i="8"/>
  <c r="AI25" i="8"/>
  <c r="AI26" i="8"/>
  <c r="AI27" i="8"/>
  <c r="AI28" i="8"/>
  <c r="AI29" i="8"/>
  <c r="AI30" i="8"/>
  <c r="AI31" i="8"/>
  <c r="AI32" i="8"/>
  <c r="AI33" i="8"/>
  <c r="AI34" i="8"/>
  <c r="AI35" i="8"/>
  <c r="AI36" i="8"/>
  <c r="AI8" i="8"/>
  <c r="L35" i="232" l="1"/>
  <c r="J35" i="232"/>
  <c r="K35" i="232"/>
  <c r="P32" i="232"/>
  <c r="L31" i="232"/>
  <c r="J31" i="232"/>
  <c r="K31" i="232"/>
  <c r="V35" i="232"/>
  <c r="V31" i="232"/>
  <c r="V27" i="232"/>
  <c r="V23" i="232"/>
  <c r="V19" i="232"/>
  <c r="V15" i="232"/>
  <c r="V11" i="232"/>
  <c r="P33" i="232"/>
  <c r="K32" i="232"/>
  <c r="L32" i="232"/>
  <c r="J32" i="232"/>
  <c r="V34" i="232"/>
  <c r="V30" i="232"/>
  <c r="V26" i="232"/>
  <c r="V22" i="232"/>
  <c r="V18" i="232"/>
  <c r="V14" i="232"/>
  <c r="V10" i="232"/>
  <c r="D17" i="232"/>
  <c r="P34" i="232"/>
  <c r="J33" i="232"/>
  <c r="L33" i="232"/>
  <c r="K33" i="232"/>
  <c r="V33" i="232"/>
  <c r="V29" i="232"/>
  <c r="V25" i="232"/>
  <c r="V21" i="232"/>
  <c r="V17" i="232"/>
  <c r="V13" i="232"/>
  <c r="V9" i="232"/>
  <c r="P35" i="232"/>
  <c r="J34" i="232"/>
  <c r="K34" i="232"/>
  <c r="L34" i="232"/>
  <c r="P31" i="232"/>
  <c r="J30" i="232"/>
  <c r="K30" i="232"/>
  <c r="L30" i="232"/>
  <c r="V32" i="232"/>
  <c r="V28" i="232"/>
  <c r="V24" i="232"/>
  <c r="V20" i="232"/>
  <c r="V16" i="232"/>
  <c r="V12" i="232"/>
  <c r="X38" i="232" l="1"/>
  <c r="X37" i="232"/>
  <c r="X36" i="232"/>
  <c r="X35" i="232"/>
  <c r="X34" i="232"/>
  <c r="X33" i="232"/>
  <c r="X32" i="232"/>
  <c r="X31" i="232"/>
  <c r="X30" i="232"/>
  <c r="X29" i="232"/>
  <c r="X28" i="232"/>
  <c r="X27" i="232"/>
  <c r="X26" i="232"/>
  <c r="X25" i="232"/>
  <c r="X24" i="232"/>
  <c r="X23" i="232"/>
  <c r="X22" i="232"/>
  <c r="X21" i="232"/>
  <c r="X20" i="232"/>
  <c r="X19" i="232"/>
  <c r="X18" i="232"/>
  <c r="X17" i="232"/>
  <c r="X16" i="232"/>
  <c r="X15" i="232"/>
  <c r="X14" i="232"/>
  <c r="X13" i="232"/>
  <c r="X12" i="232"/>
  <c r="X11" i="232"/>
  <c r="X10" i="232"/>
  <c r="X9" i="232"/>
  <c r="P30" i="232"/>
  <c r="P29" i="232"/>
  <c r="P28" i="232"/>
  <c r="P27" i="232"/>
  <c r="P26" i="232"/>
  <c r="P25" i="232"/>
  <c r="P24" i="232"/>
  <c r="P23" i="232"/>
  <c r="P22" i="232"/>
  <c r="P21" i="232"/>
  <c r="P20" i="232"/>
  <c r="P19" i="232"/>
  <c r="P18" i="232"/>
  <c r="P17" i="232"/>
  <c r="P16" i="232"/>
  <c r="P15" i="232"/>
  <c r="P14" i="232"/>
  <c r="P13" i="232"/>
  <c r="P12" i="232"/>
  <c r="P11" i="232"/>
  <c r="P10" i="232"/>
  <c r="P9" i="232"/>
  <c r="L29" i="232"/>
  <c r="L28" i="232"/>
  <c r="L27" i="232"/>
  <c r="L26" i="232"/>
  <c r="L25" i="232"/>
  <c r="L24" i="232"/>
  <c r="L23" i="232"/>
  <c r="L22" i="232"/>
  <c r="L21" i="232"/>
  <c r="L20" i="232"/>
  <c r="L19" i="232"/>
  <c r="L18" i="232"/>
  <c r="L17" i="232"/>
  <c r="L16" i="232"/>
  <c r="L15" i="232"/>
  <c r="L14" i="232"/>
  <c r="L13" i="232"/>
  <c r="L12" i="232"/>
  <c r="L11" i="232"/>
  <c r="L10" i="232"/>
  <c r="L9" i="232"/>
  <c r="H18" i="232"/>
  <c r="H17" i="232"/>
  <c r="H16" i="232"/>
  <c r="H15" i="232"/>
  <c r="H14" i="232"/>
  <c r="H13" i="232"/>
  <c r="H12" i="232"/>
  <c r="H11" i="232"/>
  <c r="H10" i="232"/>
  <c r="H9" i="232"/>
  <c r="D16" i="232"/>
  <c r="D15" i="232"/>
  <c r="D14" i="232"/>
  <c r="D13" i="232"/>
  <c r="D12" i="232"/>
  <c r="D11" i="232"/>
  <c r="D10" i="232"/>
  <c r="D9" i="232"/>
  <c r="AF27" i="8"/>
  <c r="AG26" i="8"/>
  <c r="AF26" i="8"/>
  <c r="AG25" i="8"/>
  <c r="AF25" i="8"/>
  <c r="AG24" i="8"/>
  <c r="AF24" i="8"/>
  <c r="AG23" i="8"/>
  <c r="AF23" i="8"/>
  <c r="AG22" i="8"/>
  <c r="AF22" i="8"/>
  <c r="AG21" i="8"/>
  <c r="AF21" i="8"/>
  <c r="AD21" i="8"/>
  <c r="AG20" i="8"/>
  <c r="AF20" i="8"/>
  <c r="AD20" i="8"/>
  <c r="AG19" i="8"/>
  <c r="AF19" i="8"/>
  <c r="AD19" i="8"/>
  <c r="AG18" i="8"/>
  <c r="AF18" i="8"/>
  <c r="AD18" i="8"/>
  <c r="AG17" i="8"/>
  <c r="AF17" i="8"/>
  <c r="AE17" i="8"/>
  <c r="AD17" i="8"/>
  <c r="AG16" i="8"/>
  <c r="AF16" i="8"/>
  <c r="AE16" i="8"/>
  <c r="AD16" i="8"/>
  <c r="AG15" i="8"/>
  <c r="AF15" i="8"/>
  <c r="AE15" i="8"/>
  <c r="AD15" i="8"/>
  <c r="AG14" i="8"/>
  <c r="AF14" i="8"/>
  <c r="AE14" i="8"/>
  <c r="AD14" i="8"/>
  <c r="AG13" i="8"/>
  <c r="AF13" i="8"/>
  <c r="AE13" i="8"/>
  <c r="AD13" i="8"/>
  <c r="AG12" i="8"/>
  <c r="AF12" i="8"/>
  <c r="AE12" i="8"/>
  <c r="AD12" i="8"/>
  <c r="AG11" i="8"/>
  <c r="AF11" i="8"/>
  <c r="AE11" i="8"/>
  <c r="AD11" i="8"/>
  <c r="AG10" i="8"/>
  <c r="AF10" i="8"/>
  <c r="AE10" i="8"/>
  <c r="AD10" i="8"/>
  <c r="AG9" i="8"/>
  <c r="AF9" i="8"/>
  <c r="AE9" i="8"/>
  <c r="AD9" i="8"/>
  <c r="AG8" i="8"/>
  <c r="AF8" i="8"/>
  <c r="AE8" i="8"/>
  <c r="AD8" i="8"/>
  <c r="A64" i="53" l="1"/>
  <c r="O12" i="50" l="1"/>
  <c r="O13" i="50"/>
  <c r="O14" i="50"/>
  <c r="O15" i="50"/>
  <c r="P15" i="50"/>
  <c r="O16" i="50"/>
  <c r="P16" i="50"/>
  <c r="O17" i="50"/>
  <c r="P17" i="50"/>
  <c r="O18" i="50"/>
  <c r="P18" i="50"/>
  <c r="O19" i="50"/>
  <c r="P19" i="50"/>
  <c r="O20" i="50"/>
  <c r="P20" i="50"/>
  <c r="O21" i="50"/>
  <c r="P21" i="50"/>
  <c r="O22" i="50"/>
  <c r="P22" i="50"/>
  <c r="O23" i="50"/>
  <c r="P23" i="50"/>
  <c r="O24" i="50"/>
  <c r="P24" i="50"/>
  <c r="O25" i="50"/>
  <c r="P25" i="50"/>
  <c r="O26" i="50"/>
  <c r="P26" i="50"/>
  <c r="O27" i="50"/>
  <c r="P27" i="50"/>
  <c r="Q27" i="50"/>
  <c r="O28" i="50"/>
  <c r="P28" i="50"/>
  <c r="Q28" i="50"/>
  <c r="O29" i="50"/>
  <c r="P29" i="50"/>
  <c r="Q29" i="50"/>
  <c r="O30" i="50"/>
  <c r="P30" i="50"/>
  <c r="Q30" i="50"/>
  <c r="O31" i="50"/>
  <c r="P31" i="50"/>
  <c r="Q31" i="50"/>
  <c r="O32" i="50"/>
  <c r="P32" i="50"/>
  <c r="Q32" i="50"/>
  <c r="O33" i="50"/>
  <c r="P33" i="50"/>
  <c r="Q33" i="50"/>
  <c r="O34" i="50"/>
  <c r="P34" i="50"/>
  <c r="Q34" i="50"/>
  <c r="O35" i="50"/>
  <c r="P35" i="50"/>
  <c r="Q35" i="50"/>
  <c r="O36" i="50"/>
  <c r="P36" i="50"/>
  <c r="R36" i="50" s="1"/>
  <c r="Q36" i="50"/>
  <c r="O37" i="50"/>
  <c r="P37" i="50"/>
  <c r="Q37" i="50"/>
  <c r="N8" i="50"/>
  <c r="N9" i="50"/>
  <c r="N10" i="50"/>
  <c r="N11" i="50"/>
  <c r="N12" i="50"/>
  <c r="N13" i="50"/>
  <c r="N14" i="50"/>
  <c r="N15" i="50"/>
  <c r="N16" i="50"/>
  <c r="N17" i="50"/>
  <c r="N18" i="50"/>
  <c r="N19" i="50"/>
  <c r="N20" i="50"/>
  <c r="N21" i="50"/>
  <c r="N22" i="50"/>
  <c r="N23" i="50"/>
  <c r="N24" i="50"/>
  <c r="N25" i="50"/>
  <c r="N26" i="50"/>
  <c r="N27" i="50"/>
  <c r="N28" i="50"/>
  <c r="N29" i="50"/>
  <c r="N30" i="50"/>
  <c r="N31" i="50"/>
  <c r="N32" i="50"/>
  <c r="N33" i="50"/>
  <c r="N34" i="50"/>
  <c r="N35" i="50"/>
  <c r="M36" i="50"/>
  <c r="N36" i="50"/>
  <c r="M37" i="50"/>
  <c r="N37" i="50"/>
  <c r="R37" i="50" s="1"/>
  <c r="N7" i="50"/>
  <c r="X7" i="232"/>
  <c r="X8" i="232"/>
  <c r="V8" i="232"/>
  <c r="V7" i="232"/>
  <c r="P8" i="232"/>
  <c r="Q36" i="232"/>
  <c r="Q37" i="232"/>
  <c r="Q38" i="232"/>
  <c r="P7" i="232"/>
  <c r="L8" i="232"/>
  <c r="M31" i="232"/>
  <c r="M35" i="232"/>
  <c r="M36" i="232"/>
  <c r="M37" i="232"/>
  <c r="M38" i="232"/>
  <c r="L7" i="232"/>
  <c r="H8" i="232"/>
  <c r="I36" i="232"/>
  <c r="I37" i="232"/>
  <c r="I38" i="232"/>
  <c r="H7" i="232"/>
  <c r="E36" i="232"/>
  <c r="E37" i="232"/>
  <c r="E38" i="232"/>
  <c r="D8" i="232"/>
  <c r="D7" i="232"/>
  <c r="E30" i="232"/>
  <c r="E31" i="232"/>
  <c r="E32" i="232"/>
  <c r="E33" i="232"/>
  <c r="E34" i="232"/>
  <c r="E35" i="232"/>
  <c r="I35" i="232" l="1"/>
  <c r="I31" i="232"/>
  <c r="I34" i="232"/>
  <c r="I30" i="232"/>
  <c r="M34" i="232"/>
  <c r="M30" i="232"/>
  <c r="I32" i="232"/>
  <c r="M32" i="232"/>
  <c r="V42" i="232"/>
  <c r="H9" i="233" s="1"/>
  <c r="I33" i="232"/>
  <c r="M33" i="232"/>
  <c r="V41" i="232"/>
  <c r="G9" i="233" s="1"/>
  <c r="V44" i="232"/>
  <c r="J9" i="233" s="1"/>
  <c r="V40" i="232"/>
  <c r="K9" i="233" s="1"/>
  <c r="V43" i="232"/>
  <c r="I9" i="233" s="1"/>
  <c r="N39" i="50"/>
  <c r="N8" i="53" l="1"/>
  <c r="N10" i="53" s="1"/>
  <c r="H9" i="234"/>
  <c r="N22" i="55"/>
  <c r="J9" i="234"/>
  <c r="I9" i="234"/>
  <c r="G9" i="234"/>
  <c r="K9" i="234"/>
  <c r="AA18" i="8"/>
  <c r="Q17" i="50" s="1"/>
  <c r="AA19" i="8"/>
  <c r="Q18" i="50" s="1"/>
  <c r="AA20" i="8"/>
  <c r="Q19" i="50" s="1"/>
  <c r="AA21" i="8"/>
  <c r="Q20" i="50" s="1"/>
  <c r="AA22" i="8"/>
  <c r="Q21" i="50" s="1"/>
  <c r="AA23" i="8"/>
  <c r="Q22" i="50" s="1"/>
  <c r="AA24" i="8"/>
  <c r="Q23" i="50" s="1"/>
  <c r="AA25" i="8"/>
  <c r="Q24" i="50" s="1"/>
  <c r="AA26" i="8"/>
  <c r="Q25" i="50" s="1"/>
  <c r="AA27" i="8"/>
  <c r="Q26" i="50" s="1"/>
  <c r="M35" i="50"/>
  <c r="R35" i="50" s="1"/>
  <c r="M33" i="50"/>
  <c r="R33" i="50" s="1"/>
  <c r="F24" i="8"/>
  <c r="F25" i="8"/>
  <c r="F26" i="8"/>
  <c r="M25" i="50" s="1"/>
  <c r="F27" i="8"/>
  <c r="M26" i="50" s="1"/>
  <c r="M27" i="50"/>
  <c r="R27" i="50" s="1"/>
  <c r="M28" i="50"/>
  <c r="R28" i="50" s="1"/>
  <c r="M29" i="50"/>
  <c r="R29" i="50" s="1"/>
  <c r="M30" i="50"/>
  <c r="R30" i="50" s="1"/>
  <c r="M31" i="50"/>
  <c r="R31" i="50" s="1"/>
  <c r="M32" i="50"/>
  <c r="R32" i="50" s="1"/>
  <c r="M34" i="50"/>
  <c r="R34" i="50" s="1"/>
  <c r="BT25" i="64"/>
  <c r="BT26" i="64"/>
  <c r="AV15" i="64"/>
  <c r="AX15" i="64" s="1"/>
  <c r="AV16" i="64"/>
  <c r="AX16" i="64" s="1"/>
  <c r="AV17" i="64"/>
  <c r="AX17" i="64" s="1"/>
  <c r="AA25" i="64"/>
  <c r="AA26" i="64"/>
  <c r="T18" i="64"/>
  <c r="V18" i="64" s="1"/>
  <c r="T19" i="64"/>
  <c r="V19" i="64" s="1"/>
  <c r="T20" i="64"/>
  <c r="V20" i="64" s="1"/>
  <c r="T21" i="64"/>
  <c r="V21" i="64" s="1"/>
  <c r="M24" i="50" l="1"/>
  <c r="R24" i="50" s="1"/>
  <c r="H25" i="8"/>
  <c r="M23" i="50"/>
  <c r="R23" i="50" s="1"/>
  <c r="H24" i="8"/>
  <c r="R25" i="50"/>
  <c r="AC21" i="8"/>
  <c r="AC25" i="8"/>
  <c r="AC26" i="8"/>
  <c r="AC18" i="8"/>
  <c r="AC22" i="8"/>
  <c r="BX25" i="64"/>
  <c r="R26" i="50"/>
  <c r="AC24" i="8"/>
  <c r="AC20" i="8"/>
  <c r="BX26" i="64"/>
  <c r="AC27" i="8"/>
  <c r="AC23" i="8"/>
  <c r="AC19" i="8"/>
  <c r="A28" i="234" l="1"/>
  <c r="A27" i="234"/>
  <c r="A26" i="234"/>
  <c r="A16" i="234"/>
  <c r="A28" i="233"/>
  <c r="A27" i="233"/>
  <c r="A26" i="233"/>
  <c r="A16" i="233"/>
  <c r="T38" i="232"/>
  <c r="AB38" i="232" s="1"/>
  <c r="S38" i="232"/>
  <c r="R38" i="232"/>
  <c r="T37" i="232"/>
  <c r="AB37" i="232" s="1"/>
  <c r="S37" i="232"/>
  <c r="R37" i="232"/>
  <c r="T36" i="232"/>
  <c r="AB36" i="232" s="1"/>
  <c r="S36" i="232"/>
  <c r="R36" i="232"/>
  <c r="T35" i="232"/>
  <c r="AB35" i="232" s="1"/>
  <c r="T34" i="232"/>
  <c r="AB34" i="232" s="1"/>
  <c r="T33" i="232"/>
  <c r="AB33" i="232" s="1"/>
  <c r="T32" i="232"/>
  <c r="AB32" i="232" s="1"/>
  <c r="T31" i="232"/>
  <c r="AB31" i="232" s="1"/>
  <c r="T30" i="232"/>
  <c r="AB30" i="232" s="1"/>
  <c r="T29" i="232"/>
  <c r="AB29" i="232" s="1"/>
  <c r="T28" i="232"/>
  <c r="AB28" i="232" s="1"/>
  <c r="T27" i="232"/>
  <c r="AB27" i="232" s="1"/>
  <c r="T26" i="232"/>
  <c r="AB26" i="232" s="1"/>
  <c r="T25" i="232"/>
  <c r="AB25" i="232" s="1"/>
  <c r="T24" i="232"/>
  <c r="AB24" i="232" s="1"/>
  <c r="T23" i="232"/>
  <c r="AB23" i="232" s="1"/>
  <c r="T22" i="232"/>
  <c r="AB22" i="232" s="1"/>
  <c r="T21" i="232"/>
  <c r="AB21" i="232" s="1"/>
  <c r="T20" i="232"/>
  <c r="AB20" i="232" s="1"/>
  <c r="T19" i="232"/>
  <c r="AB19" i="232" s="1"/>
  <c r="T18" i="232"/>
  <c r="AB18" i="232" s="1"/>
  <c r="T17" i="232"/>
  <c r="AB17" i="232" s="1"/>
  <c r="T16" i="232"/>
  <c r="AB16" i="232" s="1"/>
  <c r="K20" i="233" l="1"/>
  <c r="G20" i="233"/>
  <c r="J20" i="233"/>
  <c r="H20" i="233"/>
  <c r="I20" i="233"/>
  <c r="J20" i="234"/>
  <c r="G20" i="234"/>
  <c r="K20" i="234"/>
  <c r="H20" i="234"/>
  <c r="I20" i="234"/>
  <c r="Z38" i="232"/>
  <c r="U38" i="232"/>
  <c r="Z37" i="232"/>
  <c r="U37" i="232"/>
  <c r="Z36" i="232"/>
  <c r="U36" i="232"/>
  <c r="T13" i="232"/>
  <c r="AB13" i="232" s="1"/>
  <c r="T10" i="232"/>
  <c r="AB10" i="232" s="1"/>
  <c r="T14" i="232"/>
  <c r="T8" i="232"/>
  <c r="AB8" i="232" s="1"/>
  <c r="T15" i="232"/>
  <c r="AB15" i="232" s="1"/>
  <c r="T11" i="232"/>
  <c r="AB11" i="232" s="1"/>
  <c r="T9" i="232"/>
  <c r="T7" i="232"/>
  <c r="T12" i="232"/>
  <c r="AB14" i="232" l="1"/>
  <c r="J26" i="234"/>
  <c r="G26" i="234"/>
  <c r="H26" i="234"/>
  <c r="K26" i="234"/>
  <c r="I26" i="234"/>
  <c r="AB7" i="232"/>
  <c r="AB9" i="232"/>
  <c r="AB12" i="232"/>
  <c r="I35" i="157" l="1"/>
  <c r="AH20" i="8" l="1"/>
  <c r="AJ20" i="8" s="1"/>
  <c r="AH22" i="8"/>
  <c r="AJ22" i="8" s="1"/>
  <c r="AH24" i="8"/>
  <c r="AJ24" i="8" s="1"/>
  <c r="AH25" i="8"/>
  <c r="AJ25" i="8" s="1"/>
  <c r="AH26" i="8"/>
  <c r="AJ26" i="8" s="1"/>
  <c r="AH27" i="8"/>
  <c r="AJ27" i="8" s="1"/>
  <c r="AJ28" i="8"/>
  <c r="AA17" i="8"/>
  <c r="AA15" i="8"/>
  <c r="AA14" i="8"/>
  <c r="AH23" i="8" l="1"/>
  <c r="AJ23" i="8" s="1"/>
  <c r="AC14" i="8"/>
  <c r="Q13" i="50"/>
  <c r="AC15" i="8"/>
  <c r="Q14" i="50"/>
  <c r="AC17" i="8"/>
  <c r="Q16" i="50"/>
  <c r="AJ36" i="8"/>
  <c r="AJ32" i="8"/>
  <c r="AH21" i="8"/>
  <c r="AJ21" i="8" s="1"/>
  <c r="AJ35" i="8"/>
  <c r="AJ31" i="8"/>
  <c r="AJ34" i="8"/>
  <c r="AJ30" i="8"/>
  <c r="AJ33" i="8"/>
  <c r="AJ29" i="8"/>
  <c r="AA13" i="8"/>
  <c r="AA16" i="8"/>
  <c r="E43" i="8"/>
  <c r="G45" i="8"/>
  <c r="E45" i="8"/>
  <c r="D45" i="8"/>
  <c r="C45" i="8"/>
  <c r="B45" i="8"/>
  <c r="G44" i="8"/>
  <c r="E44" i="8"/>
  <c r="D44" i="8"/>
  <c r="C44" i="8"/>
  <c r="B44" i="8"/>
  <c r="G43" i="8"/>
  <c r="D43" i="8"/>
  <c r="C43" i="8"/>
  <c r="B43" i="8"/>
  <c r="G42" i="8"/>
  <c r="D42" i="8"/>
  <c r="C42" i="8"/>
  <c r="B42" i="8"/>
  <c r="G41" i="8"/>
  <c r="D41" i="8"/>
  <c r="C41" i="8"/>
  <c r="B41" i="8"/>
  <c r="F17" i="8"/>
  <c r="F18" i="8"/>
  <c r="F19" i="8"/>
  <c r="F20" i="8"/>
  <c r="F21" i="8"/>
  <c r="F22" i="8"/>
  <c r="F23" i="8"/>
  <c r="H26" i="8"/>
  <c r="H27" i="8"/>
  <c r="D51" i="8" l="1"/>
  <c r="G51" i="8"/>
  <c r="B51" i="8"/>
  <c r="C51" i="8"/>
  <c r="D40" i="232"/>
  <c r="D42" i="232"/>
  <c r="Q18" i="143"/>
  <c r="X43" i="232"/>
  <c r="I11" i="233" s="1"/>
  <c r="I22" i="233" s="1"/>
  <c r="AC13" i="8"/>
  <c r="Q12" i="50"/>
  <c r="H23" i="8"/>
  <c r="M22" i="50"/>
  <c r="R22" i="50" s="1"/>
  <c r="H19" i="8"/>
  <c r="M18" i="50"/>
  <c r="R18" i="50" s="1"/>
  <c r="H40" i="232"/>
  <c r="H41" i="232"/>
  <c r="H42" i="232"/>
  <c r="H43" i="232"/>
  <c r="D44" i="232"/>
  <c r="Q19" i="143"/>
  <c r="X44" i="232"/>
  <c r="J11" i="233" s="1"/>
  <c r="J22" i="233" s="1"/>
  <c r="H20" i="8"/>
  <c r="M19" i="50"/>
  <c r="R19" i="50" s="1"/>
  <c r="P44" i="232"/>
  <c r="L40" i="232"/>
  <c r="L41" i="232"/>
  <c r="L42" i="232"/>
  <c r="L43" i="232"/>
  <c r="H44" i="232"/>
  <c r="P42" i="232"/>
  <c r="D41" i="232"/>
  <c r="D43" i="232"/>
  <c r="H22" i="8"/>
  <c r="M21" i="50"/>
  <c r="R21" i="50" s="1"/>
  <c r="H18" i="8"/>
  <c r="M17" i="50"/>
  <c r="R17" i="50" s="1"/>
  <c r="H21" i="8"/>
  <c r="M20" i="50"/>
  <c r="R20" i="50" s="1"/>
  <c r="H17" i="8"/>
  <c r="M16" i="50"/>
  <c r="R16" i="50" s="1"/>
  <c r="Q20" i="143"/>
  <c r="X40" i="232"/>
  <c r="K11" i="233" s="1"/>
  <c r="K22" i="233" s="1"/>
  <c r="Q16" i="143"/>
  <c r="X41" i="232"/>
  <c r="G11" i="233" s="1"/>
  <c r="G22" i="233" s="1"/>
  <c r="Q17" i="143"/>
  <c r="X42" i="232"/>
  <c r="H11" i="233" s="1"/>
  <c r="H22" i="233" s="1"/>
  <c r="P43" i="232"/>
  <c r="L44" i="232"/>
  <c r="AC16" i="8"/>
  <c r="Q15" i="50"/>
  <c r="E42" i="8"/>
  <c r="E41" i="8"/>
  <c r="F16" i="8"/>
  <c r="F12" i="8"/>
  <c r="F8" i="8"/>
  <c r="F9" i="8"/>
  <c r="F10" i="8"/>
  <c r="F14" i="8"/>
  <c r="F13" i="8"/>
  <c r="F11" i="8"/>
  <c r="F15" i="8"/>
  <c r="T15" i="8"/>
  <c r="E51" i="8" l="1"/>
  <c r="J11" i="234"/>
  <c r="V15" i="8"/>
  <c r="P14" i="50"/>
  <c r="H14" i="8"/>
  <c r="M13" i="50"/>
  <c r="H12" i="8"/>
  <c r="M11" i="50"/>
  <c r="M12" i="50"/>
  <c r="P41" i="232"/>
  <c r="M14" i="50"/>
  <c r="H16" i="8"/>
  <c r="M15" i="50"/>
  <c r="R15" i="50" s="1"/>
  <c r="H11" i="234"/>
  <c r="M7" i="50"/>
  <c r="M9" i="50"/>
  <c r="H11" i="8"/>
  <c r="M10" i="50"/>
  <c r="H9" i="8"/>
  <c r="M8" i="50"/>
  <c r="P40" i="232"/>
  <c r="G11" i="234"/>
  <c r="K11" i="234"/>
  <c r="I11" i="234"/>
  <c r="H15" i="8"/>
  <c r="F45" i="8"/>
  <c r="H13" i="8"/>
  <c r="F44" i="8"/>
  <c r="H10" i="8"/>
  <c r="F43" i="8"/>
  <c r="H8" i="8"/>
  <c r="F42" i="8"/>
  <c r="F41" i="8"/>
  <c r="M12" i="8"/>
  <c r="AE8" i="50"/>
  <c r="AE9" i="50"/>
  <c r="AE10" i="50"/>
  <c r="AE11" i="50"/>
  <c r="AE12" i="50"/>
  <c r="AE13" i="50"/>
  <c r="AE14" i="50"/>
  <c r="AE15" i="50"/>
  <c r="AE16" i="50"/>
  <c r="AE17" i="50"/>
  <c r="AE18" i="50"/>
  <c r="AE19" i="50"/>
  <c r="AE20" i="50"/>
  <c r="AE21" i="50"/>
  <c r="AE22" i="50"/>
  <c r="AD23" i="50"/>
  <c r="AE23" i="50"/>
  <c r="AD24" i="50"/>
  <c r="AE24" i="50"/>
  <c r="AD25" i="50"/>
  <c r="AE25" i="50"/>
  <c r="AE26" i="50"/>
  <c r="AD27" i="50"/>
  <c r="AE27" i="50"/>
  <c r="AD28" i="50"/>
  <c r="AE28" i="50"/>
  <c r="AD29" i="50"/>
  <c r="AE29" i="50"/>
  <c r="AD30" i="50"/>
  <c r="AE30" i="50"/>
  <c r="AE31" i="50"/>
  <c r="AD32" i="50"/>
  <c r="AE32" i="50"/>
  <c r="AD33" i="50"/>
  <c r="AE33" i="50"/>
  <c r="AD34" i="50"/>
  <c r="AE34" i="50"/>
  <c r="AD35" i="50"/>
  <c r="AE35" i="50"/>
  <c r="AD36" i="50"/>
  <c r="AE36" i="50"/>
  <c r="AD37" i="50"/>
  <c r="AE37" i="50"/>
  <c r="AE7" i="50"/>
  <c r="H14" i="50"/>
  <c r="H15" i="50"/>
  <c r="H16" i="50"/>
  <c r="H18" i="50"/>
  <c r="H19" i="50"/>
  <c r="H20" i="50"/>
  <c r="H21" i="50"/>
  <c r="H22" i="50"/>
  <c r="H23" i="50"/>
  <c r="H24" i="50"/>
  <c r="H25" i="50"/>
  <c r="H26" i="50"/>
  <c r="H27" i="50"/>
  <c r="H28" i="50"/>
  <c r="H29" i="50"/>
  <c r="H30" i="50"/>
  <c r="H31" i="50"/>
  <c r="H32" i="50"/>
  <c r="H33" i="50"/>
  <c r="H34" i="50"/>
  <c r="H35" i="50"/>
  <c r="H36" i="50"/>
  <c r="H37" i="50"/>
  <c r="B39" i="227"/>
  <c r="V8" i="231"/>
  <c r="X8" i="231"/>
  <c r="V9" i="231"/>
  <c r="X9" i="231"/>
  <c r="V10" i="231"/>
  <c r="X10" i="231"/>
  <c r="V11" i="231"/>
  <c r="X11" i="231"/>
  <c r="V12" i="231"/>
  <c r="X12" i="231"/>
  <c r="V13" i="231"/>
  <c r="X13" i="231"/>
  <c r="V14" i="231"/>
  <c r="X14" i="231"/>
  <c r="V15" i="231"/>
  <c r="X15" i="231"/>
  <c r="V16" i="231"/>
  <c r="X16" i="231"/>
  <c r="V17" i="231"/>
  <c r="X17" i="231"/>
  <c r="V18" i="231"/>
  <c r="X18" i="231"/>
  <c r="V19" i="231"/>
  <c r="X19" i="231"/>
  <c r="V20" i="231"/>
  <c r="X20" i="231"/>
  <c r="V21" i="231"/>
  <c r="X21" i="231"/>
  <c r="V22" i="231"/>
  <c r="X22" i="231"/>
  <c r="V23" i="231"/>
  <c r="X23" i="231"/>
  <c r="V24" i="231"/>
  <c r="X24" i="231"/>
  <c r="V25" i="231"/>
  <c r="X25" i="231"/>
  <c r="V26" i="231"/>
  <c r="X26" i="231"/>
  <c r="V27" i="231"/>
  <c r="X27" i="231"/>
  <c r="V28" i="231"/>
  <c r="X28" i="231"/>
  <c r="V29" i="231"/>
  <c r="X29" i="231"/>
  <c r="V30" i="231"/>
  <c r="X30" i="231"/>
  <c r="V31" i="231"/>
  <c r="W31" i="231"/>
  <c r="X31" i="231"/>
  <c r="V32" i="231"/>
  <c r="W32" i="231"/>
  <c r="X32" i="231"/>
  <c r="V33" i="231"/>
  <c r="W33" i="231"/>
  <c r="Y33" i="231" s="1"/>
  <c r="X33" i="231"/>
  <c r="V34" i="231"/>
  <c r="W34" i="231"/>
  <c r="X34" i="231"/>
  <c r="V35" i="231"/>
  <c r="W35" i="231"/>
  <c r="X35" i="231"/>
  <c r="V36" i="231"/>
  <c r="W36" i="231"/>
  <c r="X36" i="231"/>
  <c r="V37" i="231"/>
  <c r="W37" i="231"/>
  <c r="Y37" i="231" s="1"/>
  <c r="X37" i="231"/>
  <c r="X7" i="231"/>
  <c r="V7" i="231"/>
  <c r="P8" i="231"/>
  <c r="P9" i="231"/>
  <c r="P10" i="231"/>
  <c r="P11" i="231"/>
  <c r="P12" i="231"/>
  <c r="P13" i="231"/>
  <c r="P14" i="231"/>
  <c r="P15" i="231"/>
  <c r="P16" i="231"/>
  <c r="P17" i="231"/>
  <c r="P18" i="231"/>
  <c r="P19" i="231"/>
  <c r="P20" i="231"/>
  <c r="P21" i="231"/>
  <c r="P22" i="231"/>
  <c r="P23" i="231"/>
  <c r="P24" i="231"/>
  <c r="P25" i="231"/>
  <c r="P26" i="231"/>
  <c r="P27" i="231"/>
  <c r="P28" i="231"/>
  <c r="P29" i="231"/>
  <c r="P30" i="231"/>
  <c r="N31" i="231"/>
  <c r="O31" i="231"/>
  <c r="Q31" i="231" s="1"/>
  <c r="P31" i="231"/>
  <c r="N32" i="231"/>
  <c r="O32" i="231"/>
  <c r="P32" i="231"/>
  <c r="T32" i="231" s="1"/>
  <c r="AB32" i="231" s="1"/>
  <c r="N33" i="231"/>
  <c r="O33" i="231"/>
  <c r="P33" i="231"/>
  <c r="N34" i="231"/>
  <c r="O34" i="231"/>
  <c r="P34" i="231"/>
  <c r="N35" i="231"/>
  <c r="O35" i="231"/>
  <c r="Q35" i="231" s="1"/>
  <c r="P35" i="231"/>
  <c r="N36" i="231"/>
  <c r="O36" i="231"/>
  <c r="P36" i="231"/>
  <c r="T36" i="231" s="1"/>
  <c r="AB36" i="231" s="1"/>
  <c r="N37" i="231"/>
  <c r="O37" i="231"/>
  <c r="P37" i="231"/>
  <c r="P7" i="231"/>
  <c r="L8" i="231"/>
  <c r="L9" i="231"/>
  <c r="L10" i="231"/>
  <c r="L11" i="231"/>
  <c r="L12" i="231"/>
  <c r="L13" i="231"/>
  <c r="L14" i="231"/>
  <c r="L15" i="231"/>
  <c r="L16" i="231"/>
  <c r="L17" i="231"/>
  <c r="L18" i="231"/>
  <c r="L19" i="231"/>
  <c r="L20" i="231"/>
  <c r="L21" i="231"/>
  <c r="L22" i="231"/>
  <c r="L23" i="231"/>
  <c r="L24" i="231"/>
  <c r="L25" i="231"/>
  <c r="L26" i="231"/>
  <c r="L27" i="231"/>
  <c r="L28" i="231"/>
  <c r="J29" i="231"/>
  <c r="K29" i="231"/>
  <c r="L29" i="231"/>
  <c r="J30" i="231"/>
  <c r="K30" i="231"/>
  <c r="L30" i="231"/>
  <c r="J31" i="231"/>
  <c r="M31" i="231" s="1"/>
  <c r="K31" i="231"/>
  <c r="L31" i="231"/>
  <c r="J32" i="231"/>
  <c r="K32" i="231"/>
  <c r="L32" i="231"/>
  <c r="J33" i="231"/>
  <c r="R33" i="231" s="1"/>
  <c r="K33" i="231"/>
  <c r="L33" i="231"/>
  <c r="T33" i="231" s="1"/>
  <c r="AB33" i="231" s="1"/>
  <c r="J34" i="231"/>
  <c r="K34" i="231"/>
  <c r="L34" i="231"/>
  <c r="J35" i="231"/>
  <c r="M35" i="231" s="1"/>
  <c r="K35" i="231"/>
  <c r="L35" i="231"/>
  <c r="J36" i="231"/>
  <c r="K36" i="231"/>
  <c r="L36" i="231"/>
  <c r="J37" i="231"/>
  <c r="R37" i="231" s="1"/>
  <c r="K37" i="231"/>
  <c r="L37" i="231"/>
  <c r="T37" i="231" s="1"/>
  <c r="AB37" i="231" s="1"/>
  <c r="L7" i="231"/>
  <c r="AS40" i="64"/>
  <c r="AT40" i="64"/>
  <c r="AR40" i="64"/>
  <c r="H8" i="231"/>
  <c r="H9" i="231"/>
  <c r="H10" i="231"/>
  <c r="H11" i="231"/>
  <c r="H12" i="231"/>
  <c r="H13" i="231"/>
  <c r="H14" i="231"/>
  <c r="H15" i="231"/>
  <c r="H16" i="231"/>
  <c r="H17" i="231"/>
  <c r="I29" i="231"/>
  <c r="I30" i="231"/>
  <c r="I31" i="231"/>
  <c r="I32" i="231"/>
  <c r="I33" i="231"/>
  <c r="I34" i="231"/>
  <c r="I35" i="231"/>
  <c r="I36" i="231"/>
  <c r="I37" i="231"/>
  <c r="H7" i="231"/>
  <c r="D8" i="231"/>
  <c r="D9" i="231"/>
  <c r="D10" i="231"/>
  <c r="D11" i="231"/>
  <c r="D12" i="231"/>
  <c r="D13" i="231"/>
  <c r="D14" i="231"/>
  <c r="D15" i="231"/>
  <c r="E29" i="231"/>
  <c r="E30" i="231"/>
  <c r="E31" i="231"/>
  <c r="E32" i="231"/>
  <c r="E33" i="231"/>
  <c r="E34" i="231"/>
  <c r="E35" i="231"/>
  <c r="E36" i="231"/>
  <c r="E37" i="231"/>
  <c r="D7" i="231"/>
  <c r="S37" i="231"/>
  <c r="AA37" i="231" s="1"/>
  <c r="R36" i="231"/>
  <c r="T35" i="231"/>
  <c r="AB35" i="231" s="1"/>
  <c r="T34" i="231"/>
  <c r="AB34" i="231" s="1"/>
  <c r="S33" i="231"/>
  <c r="R32" i="231"/>
  <c r="T31" i="231"/>
  <c r="AB31" i="231" s="1"/>
  <c r="M36" i="231" l="1"/>
  <c r="M32" i="231"/>
  <c r="Q36" i="231"/>
  <c r="Q32" i="231"/>
  <c r="V39" i="231"/>
  <c r="Y34" i="231"/>
  <c r="AA33" i="231"/>
  <c r="M29" i="231"/>
  <c r="Q37" i="231"/>
  <c r="Q33" i="231"/>
  <c r="Y35" i="231"/>
  <c r="Y31" i="231"/>
  <c r="R34" i="231"/>
  <c r="S34" i="231"/>
  <c r="AA34" i="231" s="1"/>
  <c r="Y36" i="231"/>
  <c r="Y32" i="231"/>
  <c r="T26" i="231"/>
  <c r="AB26" i="231" s="1"/>
  <c r="T22" i="231"/>
  <c r="AB22" i="231" s="1"/>
  <c r="R14" i="50"/>
  <c r="T27" i="231"/>
  <c r="AB27" i="231" s="1"/>
  <c r="T23" i="231"/>
  <c r="T25" i="231"/>
  <c r="AB25" i="231" s="1"/>
  <c r="T21" i="231"/>
  <c r="AB21" i="231" s="1"/>
  <c r="U34" i="231"/>
  <c r="U37" i="231"/>
  <c r="U33" i="231"/>
  <c r="R31" i="231"/>
  <c r="S32" i="231"/>
  <c r="AA32" i="231" s="1"/>
  <c r="R35" i="231"/>
  <c r="S36" i="231"/>
  <c r="AA36" i="231" s="1"/>
  <c r="M37" i="231"/>
  <c r="M34" i="231"/>
  <c r="M33" i="231"/>
  <c r="M30" i="231"/>
  <c r="T28" i="231"/>
  <c r="T24" i="231"/>
  <c r="AB24" i="231" s="1"/>
  <c r="T20" i="231"/>
  <c r="AB20" i="231" s="1"/>
  <c r="T29" i="231"/>
  <c r="S31" i="231"/>
  <c r="AA31" i="231" s="1"/>
  <c r="S35" i="231"/>
  <c r="AA35" i="231" s="1"/>
  <c r="Q34" i="231"/>
  <c r="T30" i="231"/>
  <c r="AB30" i="231" s="1"/>
  <c r="U36" i="231"/>
  <c r="T12" i="231"/>
  <c r="AB12" i="231" s="1"/>
  <c r="K22" i="234"/>
  <c r="K28" i="234" s="1"/>
  <c r="J22" i="234"/>
  <c r="J28" i="234" s="1"/>
  <c r="I22" i="234"/>
  <c r="I28" i="234" s="1"/>
  <c r="G22" i="234"/>
  <c r="G28" i="234" s="1"/>
  <c r="H22" i="234"/>
  <c r="H28" i="234" s="1"/>
  <c r="T16" i="231"/>
  <c r="AB16" i="231" s="1"/>
  <c r="T8" i="231"/>
  <c r="AB8" i="231" s="1"/>
  <c r="T15" i="231"/>
  <c r="AB15" i="231" s="1"/>
  <c r="T11" i="231"/>
  <c r="AB11" i="231" s="1"/>
  <c r="T18" i="231"/>
  <c r="AB18" i="231" s="1"/>
  <c r="T14" i="231"/>
  <c r="AB14" i="231" s="1"/>
  <c r="T10" i="231"/>
  <c r="AB10" i="231" s="1"/>
  <c r="F51" i="8"/>
  <c r="T17" i="231"/>
  <c r="AB17" i="231" s="1"/>
  <c r="T13" i="231"/>
  <c r="AB13" i="231" s="1"/>
  <c r="T9" i="231"/>
  <c r="AB9" i="231" s="1"/>
  <c r="AB28" i="231"/>
  <c r="X39" i="231"/>
  <c r="AB23" i="231"/>
  <c r="AB29" i="231"/>
  <c r="H39" i="231"/>
  <c r="P39" i="231"/>
  <c r="O12" i="8"/>
  <c r="O11" i="50"/>
  <c r="Q11" i="143"/>
  <c r="Q24" i="143" s="1"/>
  <c r="T42" i="232"/>
  <c r="C11" i="233" s="1"/>
  <c r="C22" i="233" s="1"/>
  <c r="Q13" i="143"/>
  <c r="Q26" i="143" s="1"/>
  <c r="T44" i="232"/>
  <c r="E11" i="233" s="1"/>
  <c r="E22" i="233" s="1"/>
  <c r="M39" i="50"/>
  <c r="H44" i="8"/>
  <c r="Q14" i="143"/>
  <c r="T40" i="232"/>
  <c r="F11" i="233" s="1"/>
  <c r="F22" i="233" s="1"/>
  <c r="H43" i="8"/>
  <c r="H45" i="8"/>
  <c r="T19" i="231"/>
  <c r="AB19" i="231" s="1"/>
  <c r="Q10" i="143"/>
  <c r="Q23" i="143" s="1"/>
  <c r="T41" i="232"/>
  <c r="B11" i="233" s="1"/>
  <c r="B22" i="233" s="1"/>
  <c r="Q12" i="143"/>
  <c r="Q25" i="143" s="1"/>
  <c r="T43" i="232"/>
  <c r="D11" i="233" s="1"/>
  <c r="D22" i="233" s="1"/>
  <c r="L39" i="231"/>
  <c r="D39" i="231"/>
  <c r="AE39" i="50"/>
  <c r="H42" i="8"/>
  <c r="H41" i="8"/>
  <c r="Z31" i="231"/>
  <c r="AC31" i="231" s="1"/>
  <c r="Z33" i="231"/>
  <c r="AC33" i="231" s="1"/>
  <c r="Z35" i="231"/>
  <c r="AC35" i="231" s="1"/>
  <c r="Z37" i="231"/>
  <c r="AC37" i="231" s="1"/>
  <c r="Z32" i="231"/>
  <c r="Z34" i="231"/>
  <c r="AC34" i="231" s="1"/>
  <c r="Z36" i="231"/>
  <c r="AC36" i="231" s="1"/>
  <c r="T7" i="231"/>
  <c r="F16" i="151"/>
  <c r="H16" i="151" s="1"/>
  <c r="F17" i="151"/>
  <c r="H17" i="151" s="1"/>
  <c r="F22" i="96"/>
  <c r="H22" i="96" s="1"/>
  <c r="F23" i="96"/>
  <c r="H23" i="96" s="1"/>
  <c r="F24" i="96"/>
  <c r="H24" i="96" s="1"/>
  <c r="F26" i="96"/>
  <c r="H26" i="96" s="1"/>
  <c r="D36" i="19"/>
  <c r="D23" i="19"/>
  <c r="D24" i="19"/>
  <c r="D25" i="19"/>
  <c r="D26" i="19"/>
  <c r="D27" i="19"/>
  <c r="D28" i="19"/>
  <c r="D29" i="19"/>
  <c r="D32" i="19"/>
  <c r="D33" i="19"/>
  <c r="D34" i="19"/>
  <c r="D35" i="19"/>
  <c r="X8" i="228"/>
  <c r="X9" i="228"/>
  <c r="X10" i="228"/>
  <c r="X11" i="228"/>
  <c r="X12" i="228"/>
  <c r="X13" i="228"/>
  <c r="X14" i="228"/>
  <c r="X15" i="228"/>
  <c r="X16" i="228"/>
  <c r="X17" i="228"/>
  <c r="X18" i="228"/>
  <c r="X19" i="228"/>
  <c r="X20" i="228"/>
  <c r="X21" i="228"/>
  <c r="X22" i="228"/>
  <c r="X23" i="228"/>
  <c r="X24" i="228"/>
  <c r="X25" i="228"/>
  <c r="X26" i="228"/>
  <c r="X27" i="228"/>
  <c r="X28" i="228"/>
  <c r="X29" i="228"/>
  <c r="X30" i="228"/>
  <c r="X31" i="228"/>
  <c r="X32" i="228"/>
  <c r="X33" i="228"/>
  <c r="X34" i="228"/>
  <c r="X35" i="228"/>
  <c r="X36" i="228"/>
  <c r="X37" i="228"/>
  <c r="X7" i="228"/>
  <c r="V8" i="228"/>
  <c r="V9" i="228"/>
  <c r="V10" i="228"/>
  <c r="V11" i="228"/>
  <c r="V12" i="228"/>
  <c r="V13" i="228"/>
  <c r="V14" i="228"/>
  <c r="V15" i="228"/>
  <c r="V16" i="228"/>
  <c r="V17" i="228"/>
  <c r="V18" i="228"/>
  <c r="V19" i="228"/>
  <c r="V20" i="228"/>
  <c r="V21" i="228"/>
  <c r="V22" i="228"/>
  <c r="V23" i="228"/>
  <c r="V24" i="228"/>
  <c r="V25" i="228"/>
  <c r="V26" i="228"/>
  <c r="V27" i="228"/>
  <c r="V28" i="228"/>
  <c r="V29" i="228"/>
  <c r="V30" i="228"/>
  <c r="V31" i="228"/>
  <c r="V32" i="228"/>
  <c r="V33" i="228"/>
  <c r="V34" i="228"/>
  <c r="V35" i="228"/>
  <c r="V36" i="228"/>
  <c r="V37" i="228"/>
  <c r="V7" i="228"/>
  <c r="P8" i="228"/>
  <c r="P9" i="228"/>
  <c r="P10" i="228"/>
  <c r="P11" i="228"/>
  <c r="P12" i="228"/>
  <c r="P13" i="228"/>
  <c r="P14" i="228"/>
  <c r="P15" i="228"/>
  <c r="P16" i="228"/>
  <c r="P17" i="228"/>
  <c r="P18" i="228"/>
  <c r="P19" i="228"/>
  <c r="P20" i="228"/>
  <c r="P21" i="228"/>
  <c r="P22" i="228"/>
  <c r="P23" i="228"/>
  <c r="P24" i="228"/>
  <c r="P25" i="228"/>
  <c r="P26" i="228"/>
  <c r="P27" i="228"/>
  <c r="P28" i="228"/>
  <c r="P29" i="228"/>
  <c r="P30" i="228"/>
  <c r="P31" i="228"/>
  <c r="P32" i="228"/>
  <c r="P33" i="228"/>
  <c r="P34" i="228"/>
  <c r="P35" i="228"/>
  <c r="P36" i="228"/>
  <c r="P37" i="228"/>
  <c r="P7" i="228"/>
  <c r="O35" i="228"/>
  <c r="O36" i="228"/>
  <c r="O37" i="228"/>
  <c r="N35" i="228"/>
  <c r="N36" i="228"/>
  <c r="Q36" i="228" s="1"/>
  <c r="N37" i="228"/>
  <c r="L8" i="228"/>
  <c r="L9" i="228"/>
  <c r="L10" i="228"/>
  <c r="L11" i="228"/>
  <c r="L12" i="228"/>
  <c r="L13" i="228"/>
  <c r="L14" i="228"/>
  <c r="L15" i="228"/>
  <c r="L16" i="228"/>
  <c r="L17" i="228"/>
  <c r="L18" i="228"/>
  <c r="L19" i="228"/>
  <c r="L20" i="228"/>
  <c r="L21" i="228"/>
  <c r="L22" i="228"/>
  <c r="L23" i="228"/>
  <c r="L24" i="228"/>
  <c r="L25" i="228"/>
  <c r="L26" i="228"/>
  <c r="L27" i="228"/>
  <c r="L28" i="228"/>
  <c r="L29" i="228"/>
  <c r="L30" i="228"/>
  <c r="L31" i="228"/>
  <c r="L32" i="228"/>
  <c r="L33" i="228"/>
  <c r="L34" i="228"/>
  <c r="L35" i="228"/>
  <c r="L36" i="228"/>
  <c r="T36" i="228" s="1"/>
  <c r="L37" i="228"/>
  <c r="L7" i="228"/>
  <c r="K29" i="228"/>
  <c r="K30" i="228"/>
  <c r="K31" i="228"/>
  <c r="K32" i="228"/>
  <c r="K33" i="228"/>
  <c r="K34" i="228"/>
  <c r="K35" i="228"/>
  <c r="K36" i="228"/>
  <c r="K37" i="228"/>
  <c r="S37" i="228" s="1"/>
  <c r="J29" i="228"/>
  <c r="J30" i="228"/>
  <c r="J31" i="228"/>
  <c r="J32" i="228"/>
  <c r="J33" i="228"/>
  <c r="J34" i="228"/>
  <c r="J35" i="228"/>
  <c r="J36" i="228"/>
  <c r="J37" i="228"/>
  <c r="H8" i="228"/>
  <c r="H9" i="228"/>
  <c r="H10" i="228"/>
  <c r="H11" i="228"/>
  <c r="H12" i="228"/>
  <c r="H13" i="228"/>
  <c r="H14" i="228"/>
  <c r="H15" i="228"/>
  <c r="H16" i="228"/>
  <c r="H17" i="228"/>
  <c r="H7" i="228"/>
  <c r="I33" i="228"/>
  <c r="I34" i="228"/>
  <c r="I37" i="228"/>
  <c r="D8" i="228"/>
  <c r="D9" i="228"/>
  <c r="D10" i="228"/>
  <c r="D11" i="228"/>
  <c r="D12" i="228"/>
  <c r="D13" i="228"/>
  <c r="D14" i="228"/>
  <c r="D15" i="228"/>
  <c r="D16" i="228"/>
  <c r="D7" i="228"/>
  <c r="E32" i="228"/>
  <c r="E33" i="228"/>
  <c r="E36" i="228"/>
  <c r="A26" i="230"/>
  <c r="A25" i="230"/>
  <c r="A24" i="230"/>
  <c r="A15" i="230"/>
  <c r="A26" i="229"/>
  <c r="A25" i="229"/>
  <c r="A24" i="229"/>
  <c r="A15" i="229"/>
  <c r="F8" i="227"/>
  <c r="AD9" i="50" s="1"/>
  <c r="F9" i="227"/>
  <c r="AD10" i="50" s="1"/>
  <c r="F10" i="227"/>
  <c r="AD11" i="50" s="1"/>
  <c r="F11" i="227"/>
  <c r="AD12" i="50" s="1"/>
  <c r="F12" i="227"/>
  <c r="AD13" i="50" s="1"/>
  <c r="F13" i="227"/>
  <c r="AD14" i="50" s="1"/>
  <c r="F14" i="227"/>
  <c r="AD15" i="50" s="1"/>
  <c r="F15" i="227"/>
  <c r="AD16" i="50" s="1"/>
  <c r="F16" i="227"/>
  <c r="AD17" i="50" s="1"/>
  <c r="F17" i="227"/>
  <c r="AD18" i="50" s="1"/>
  <c r="F18" i="227"/>
  <c r="AD19" i="50" s="1"/>
  <c r="F19" i="227"/>
  <c r="AD20" i="50" s="1"/>
  <c r="F20" i="227"/>
  <c r="AD21" i="50" s="1"/>
  <c r="F21" i="227"/>
  <c r="AD22" i="50" s="1"/>
  <c r="H30" i="95"/>
  <c r="H31" i="95"/>
  <c r="BY9" i="64"/>
  <c r="BY10" i="64"/>
  <c r="BY11" i="64"/>
  <c r="BY12" i="64"/>
  <c r="BY13" i="64"/>
  <c r="BY14" i="64"/>
  <c r="BY15" i="64"/>
  <c r="BY16" i="64"/>
  <c r="BY17" i="64"/>
  <c r="BY18" i="64"/>
  <c r="BY19" i="64"/>
  <c r="BY20" i="64"/>
  <c r="BY21" i="64"/>
  <c r="BY22" i="64"/>
  <c r="BY23" i="64"/>
  <c r="BY24" i="64"/>
  <c r="BY25" i="64"/>
  <c r="BY26" i="64"/>
  <c r="BY27" i="64"/>
  <c r="BY8" i="64"/>
  <c r="BV8" i="64"/>
  <c r="BW8" i="64"/>
  <c r="BV9" i="64"/>
  <c r="BW9" i="64"/>
  <c r="BV10" i="64"/>
  <c r="BW10" i="64"/>
  <c r="BV11" i="64"/>
  <c r="BW11" i="64"/>
  <c r="BV12" i="64"/>
  <c r="BW12" i="64"/>
  <c r="BV13" i="64"/>
  <c r="BW13" i="64"/>
  <c r="BV14" i="64"/>
  <c r="BW14" i="64"/>
  <c r="BV15" i="64"/>
  <c r="BW15" i="64"/>
  <c r="BV16" i="64"/>
  <c r="BW16" i="64"/>
  <c r="BV17" i="64"/>
  <c r="BW17" i="64"/>
  <c r="BV18" i="64"/>
  <c r="BW18" i="64"/>
  <c r="BV19" i="64"/>
  <c r="BW19" i="64"/>
  <c r="BV20" i="64"/>
  <c r="BW20" i="64"/>
  <c r="BW21" i="64"/>
  <c r="BW22" i="64"/>
  <c r="BW23" i="64"/>
  <c r="BW24" i="64"/>
  <c r="BU9" i="64"/>
  <c r="BU10" i="64"/>
  <c r="BU11" i="64"/>
  <c r="BU12" i="64"/>
  <c r="BU13" i="64"/>
  <c r="BU14" i="64"/>
  <c r="BU15" i="64"/>
  <c r="BU16" i="64"/>
  <c r="BU8" i="64"/>
  <c r="BT9" i="64"/>
  <c r="BT10" i="64"/>
  <c r="BT11" i="64"/>
  <c r="BT12" i="64"/>
  <c r="BT13" i="64"/>
  <c r="BT14" i="64"/>
  <c r="BT15" i="64"/>
  <c r="BT16" i="64"/>
  <c r="BT17" i="64"/>
  <c r="BT18" i="64"/>
  <c r="BT19" i="64"/>
  <c r="BT20" i="64"/>
  <c r="BT21" i="64"/>
  <c r="BT22" i="64"/>
  <c r="BT23" i="64"/>
  <c r="BT24" i="64"/>
  <c r="BT8" i="64"/>
  <c r="H17" i="50"/>
  <c r="AV14" i="64"/>
  <c r="AX14" i="64" s="1"/>
  <c r="H13" i="50" s="1"/>
  <c r="AV13" i="64"/>
  <c r="AX13" i="64" s="1"/>
  <c r="H12" i="50" s="1"/>
  <c r="AV12" i="64"/>
  <c r="AX12" i="64" s="1"/>
  <c r="H11" i="50" s="1"/>
  <c r="AV11" i="64"/>
  <c r="AX11" i="64" s="1"/>
  <c r="H10" i="50" s="1"/>
  <c r="AV10" i="64"/>
  <c r="AX10" i="64" s="1"/>
  <c r="H9" i="50" s="1"/>
  <c r="AV9" i="64"/>
  <c r="AX9" i="64" s="1"/>
  <c r="H8" i="50" s="1"/>
  <c r="AV8" i="64"/>
  <c r="U32" i="231" l="1"/>
  <c r="AC32" i="231"/>
  <c r="M35" i="228"/>
  <c r="AE8" i="53"/>
  <c r="AE10" i="53" s="1"/>
  <c r="M8" i="53"/>
  <c r="M34" i="228"/>
  <c r="Q35" i="228"/>
  <c r="U31" i="231"/>
  <c r="U35" i="231"/>
  <c r="H51" i="8"/>
  <c r="F11" i="234"/>
  <c r="F22" i="234" s="1"/>
  <c r="D11" i="234"/>
  <c r="D22" i="234" s="1"/>
  <c r="E11" i="234"/>
  <c r="E22" i="234" s="1"/>
  <c r="C11" i="234"/>
  <c r="C22" i="234" s="1"/>
  <c r="B11" i="234"/>
  <c r="B22" i="234" s="1"/>
  <c r="Q27" i="143"/>
  <c r="AB36" i="228"/>
  <c r="AD31" i="50"/>
  <c r="AB42" i="232"/>
  <c r="M11" i="233" s="1"/>
  <c r="M22" i="233" s="1"/>
  <c r="M22" i="55"/>
  <c r="AD26" i="50"/>
  <c r="E29" i="228"/>
  <c r="AB40" i="232"/>
  <c r="P11" i="233" s="1"/>
  <c r="P22" i="233" s="1"/>
  <c r="AB43" i="232"/>
  <c r="N11" i="233" s="1"/>
  <c r="N22" i="233" s="1"/>
  <c r="AB41" i="232"/>
  <c r="L11" i="233" s="1"/>
  <c r="L22" i="233" s="1"/>
  <c r="AB44" i="232"/>
  <c r="O11" i="233" s="1"/>
  <c r="O22" i="233" s="1"/>
  <c r="M30" i="228"/>
  <c r="T29" i="228"/>
  <c r="AB29" i="228" s="1"/>
  <c r="T20" i="228"/>
  <c r="AB20" i="228" s="1"/>
  <c r="AX8" i="64"/>
  <c r="AV40" i="64"/>
  <c r="T39" i="231" s="1"/>
  <c r="M31" i="228"/>
  <c r="E35" i="228"/>
  <c r="I36" i="228"/>
  <c r="I32" i="228"/>
  <c r="M37" i="228"/>
  <c r="M33" i="228"/>
  <c r="R36" i="228"/>
  <c r="Z36" i="228" s="1"/>
  <c r="E34" i="228"/>
  <c r="E30" i="228"/>
  <c r="I35" i="228"/>
  <c r="I31" i="228"/>
  <c r="T33" i="228"/>
  <c r="AB33" i="228" s="1"/>
  <c r="T25" i="228"/>
  <c r="AB25" i="228" s="1"/>
  <c r="T13" i="228"/>
  <c r="AB13" i="228" s="1"/>
  <c r="T9" i="228"/>
  <c r="AB9" i="228" s="1"/>
  <c r="M36" i="228"/>
  <c r="M32" i="228"/>
  <c r="Q37" i="228"/>
  <c r="R37" i="228"/>
  <c r="Z37" i="228" s="1"/>
  <c r="S36" i="228"/>
  <c r="M29" i="228"/>
  <c r="T34" i="228"/>
  <c r="AB34" i="228" s="1"/>
  <c r="E31" i="228"/>
  <c r="T21" i="228"/>
  <c r="AB21" i="228" s="1"/>
  <c r="T17" i="228"/>
  <c r="AB17" i="228" s="1"/>
  <c r="I29" i="228"/>
  <c r="E37" i="228"/>
  <c r="T22" i="228"/>
  <c r="AB22" i="228" s="1"/>
  <c r="T12" i="228"/>
  <c r="AB12" i="228" s="1"/>
  <c r="AE22" i="55"/>
  <c r="T18" i="228"/>
  <c r="AB18" i="228" s="1"/>
  <c r="T14" i="228"/>
  <c r="AB14" i="228" s="1"/>
  <c r="I30" i="228"/>
  <c r="T8" i="228"/>
  <c r="AB8" i="228" s="1"/>
  <c r="T23" i="228"/>
  <c r="AB23" i="228" s="1"/>
  <c r="H17" i="227"/>
  <c r="T16" i="228"/>
  <c r="AB16" i="228" s="1"/>
  <c r="V41" i="228"/>
  <c r="F8" i="229" s="1"/>
  <c r="F18" i="229" s="1"/>
  <c r="V40" i="228"/>
  <c r="V39" i="228"/>
  <c r="G8" i="229" s="1"/>
  <c r="G18" i="229" s="1"/>
  <c r="T28" i="228"/>
  <c r="AB28" i="228" s="1"/>
  <c r="T24" i="228"/>
  <c r="AB24" i="228" s="1"/>
  <c r="T30" i="228"/>
  <c r="AB30" i="228" s="1"/>
  <c r="H10" i="227"/>
  <c r="T26" i="228"/>
  <c r="AB26" i="228" s="1"/>
  <c r="H21" i="227"/>
  <c r="H20" i="227"/>
  <c r="H19" i="227"/>
  <c r="H18" i="227"/>
  <c r="H16" i="227"/>
  <c r="H15" i="227"/>
  <c r="T15" i="228"/>
  <c r="AB15" i="228" s="1"/>
  <c r="H14" i="227"/>
  <c r="H13" i="227"/>
  <c r="H12" i="227"/>
  <c r="H11" i="227"/>
  <c r="H9" i="227"/>
  <c r="H8" i="227"/>
  <c r="D40" i="228"/>
  <c r="AB7" i="231"/>
  <c r="T10" i="228"/>
  <c r="AB10" i="228" s="1"/>
  <c r="T35" i="228"/>
  <c r="AB35" i="228" s="1"/>
  <c r="T31" i="228"/>
  <c r="AB31" i="228" s="1"/>
  <c r="T27" i="228"/>
  <c r="AB27" i="228" s="1"/>
  <c r="T19" i="228"/>
  <c r="AB19" i="228" s="1"/>
  <c r="T11" i="228"/>
  <c r="T32" i="228"/>
  <c r="AB32" i="228" s="1"/>
  <c r="T37" i="228"/>
  <c r="AB37" i="228" s="1"/>
  <c r="S35" i="228"/>
  <c r="T7" i="228"/>
  <c r="R35" i="228"/>
  <c r="G40" i="227"/>
  <c r="G38" i="227"/>
  <c r="G39" i="227"/>
  <c r="E40" i="227"/>
  <c r="E39" i="227"/>
  <c r="D40" i="227"/>
  <c r="D38" i="227"/>
  <c r="C40" i="227"/>
  <c r="H41" i="228" s="1"/>
  <c r="C39" i="227"/>
  <c r="C38" i="227"/>
  <c r="H39" i="228" s="1"/>
  <c r="D39" i="227"/>
  <c r="F7" i="227"/>
  <c r="E38" i="227"/>
  <c r="B40" i="227"/>
  <c r="B38" i="227"/>
  <c r="F6" i="227"/>
  <c r="AD7" i="50" s="1"/>
  <c r="AH15" i="64"/>
  <c r="AH13" i="64"/>
  <c r="M10" i="53" l="1"/>
  <c r="M11" i="234"/>
  <c r="M22" i="234" s="1"/>
  <c r="O11" i="234"/>
  <c r="O22" i="234" s="1"/>
  <c r="N11" i="234"/>
  <c r="N22" i="234" s="1"/>
  <c r="L11" i="234"/>
  <c r="L22" i="234" s="1"/>
  <c r="P11" i="234"/>
  <c r="P22" i="234" s="1"/>
  <c r="X39" i="228"/>
  <c r="G10" i="229" s="1"/>
  <c r="G20" i="229" s="1"/>
  <c r="R67" i="143"/>
  <c r="X40" i="228"/>
  <c r="R65" i="143"/>
  <c r="R66" i="143"/>
  <c r="H7" i="50"/>
  <c r="H39" i="50" s="1"/>
  <c r="H8" i="53" s="1"/>
  <c r="H10" i="53" s="1"/>
  <c r="AX40" i="64"/>
  <c r="W3" i="143" s="1"/>
  <c r="U36" i="228"/>
  <c r="H40" i="228"/>
  <c r="P40" i="228"/>
  <c r="X41" i="228"/>
  <c r="F10" i="229" s="1"/>
  <c r="F20" i="229" s="1"/>
  <c r="L39" i="228"/>
  <c r="P39" i="228"/>
  <c r="L40" i="228"/>
  <c r="P41" i="228"/>
  <c r="L41" i="228"/>
  <c r="D41" i="228"/>
  <c r="AB11" i="228"/>
  <c r="H7" i="227"/>
  <c r="AD8" i="50"/>
  <c r="AD39" i="50" s="1"/>
  <c r="D39" i="228"/>
  <c r="Z35" i="228"/>
  <c r="U35" i="228"/>
  <c r="AB7" i="228"/>
  <c r="U37" i="228"/>
  <c r="G46" i="227"/>
  <c r="E46" i="227"/>
  <c r="D46" i="227"/>
  <c r="C46" i="227"/>
  <c r="B46" i="227"/>
  <c r="H40" i="227"/>
  <c r="R71" i="143" s="1"/>
  <c r="F40" i="227"/>
  <c r="F39" i="227"/>
  <c r="H6" i="227"/>
  <c r="F38" i="227"/>
  <c r="BO40" i="64"/>
  <c r="BN40" i="64"/>
  <c r="AA8" i="64"/>
  <c r="AH18" i="64"/>
  <c r="AJ18" i="64" s="1"/>
  <c r="AH17" i="64"/>
  <c r="AH16" i="64"/>
  <c r="AH14" i="64"/>
  <c r="AH12" i="64"/>
  <c r="AH8" i="64"/>
  <c r="AJ8" i="64" s="1"/>
  <c r="BC16" i="64"/>
  <c r="BE16" i="64" s="1"/>
  <c r="BJ13" i="64"/>
  <c r="BL13" i="64" s="1"/>
  <c r="BJ12" i="64"/>
  <c r="BL12" i="64" s="1"/>
  <c r="BJ11" i="64"/>
  <c r="BL11" i="64" s="1"/>
  <c r="A2" i="120"/>
  <c r="AD8" i="53" l="1"/>
  <c r="AD10" i="53" s="1"/>
  <c r="T41" i="228"/>
  <c r="C10" i="229" s="1"/>
  <c r="C20" i="229" s="1"/>
  <c r="R62" i="143"/>
  <c r="R61" i="143"/>
  <c r="R63" i="143"/>
  <c r="AB39" i="231"/>
  <c r="H10" i="42" s="1"/>
  <c r="H38" i="227"/>
  <c r="R72" i="143" s="1"/>
  <c r="AB41" i="228"/>
  <c r="I10" i="229" s="1"/>
  <c r="I20" i="229" s="1"/>
  <c r="AD22" i="55"/>
  <c r="T40" i="228"/>
  <c r="B10" i="229" s="1"/>
  <c r="B20" i="229" s="1"/>
  <c r="T39" i="228"/>
  <c r="D10" i="229" s="1"/>
  <c r="D20" i="229" s="1"/>
  <c r="F46" i="227"/>
  <c r="H39" i="227"/>
  <c r="AB39" i="228" l="1"/>
  <c r="J10" i="229" s="1"/>
  <c r="J20" i="229" s="1"/>
  <c r="R70" i="143"/>
  <c r="AB40" i="228"/>
  <c r="H10" i="229" s="1"/>
  <c r="H20" i="229" s="1"/>
  <c r="H46" i="227"/>
  <c r="H10" i="230" l="1"/>
  <c r="H20" i="230" s="1"/>
  <c r="F8" i="230"/>
  <c r="F18" i="230" s="1"/>
  <c r="G8" i="230"/>
  <c r="G18" i="230" s="1"/>
  <c r="G10" i="230"/>
  <c r="G20" i="230" s="1"/>
  <c r="F10" i="230"/>
  <c r="F20" i="230" s="1"/>
  <c r="C10" i="230"/>
  <c r="C20" i="230" s="1"/>
  <c r="H10" i="196"/>
  <c r="D10" i="230"/>
  <c r="D20" i="230" s="1"/>
  <c r="I10" i="230"/>
  <c r="I20" i="230" s="1"/>
  <c r="B10" i="230"/>
  <c r="B20" i="230" s="1"/>
  <c r="J10" i="230"/>
  <c r="J20" i="230" s="1"/>
  <c r="A28" i="202" l="1"/>
  <c r="A27" i="202"/>
  <c r="A26" i="202"/>
  <c r="A28" i="201"/>
  <c r="A27" i="201"/>
  <c r="A26" i="201"/>
  <c r="A28" i="199"/>
  <c r="A27" i="199"/>
  <c r="A26" i="199"/>
  <c r="A28" i="175"/>
  <c r="A27" i="175"/>
  <c r="A26" i="175"/>
  <c r="A28" i="198"/>
  <c r="A27" i="198"/>
  <c r="A26" i="198"/>
  <c r="A28" i="174"/>
  <c r="A27" i="174"/>
  <c r="A26" i="174"/>
  <c r="A26" i="180"/>
  <c r="A25" i="180"/>
  <c r="A24" i="180"/>
  <c r="A26" i="177"/>
  <c r="A25" i="177"/>
  <c r="A24" i="177"/>
  <c r="A26" i="220"/>
  <c r="A25" i="220"/>
  <c r="A24" i="220"/>
  <c r="A26" i="223"/>
  <c r="A25" i="223"/>
  <c r="A24" i="223"/>
  <c r="A26" i="184"/>
  <c r="A25" i="184"/>
  <c r="A24" i="184"/>
  <c r="A26" i="193"/>
  <c r="A25" i="193"/>
  <c r="A24" i="193"/>
  <c r="A26" i="194"/>
  <c r="A25" i="194"/>
  <c r="A24" i="194"/>
  <c r="A26" i="187"/>
  <c r="A25" i="187"/>
  <c r="A24" i="187"/>
  <c r="A26" i="192"/>
  <c r="A25" i="192"/>
  <c r="A24" i="192"/>
  <c r="A26" i="191"/>
  <c r="A25" i="191"/>
  <c r="A24" i="191"/>
  <c r="A26" i="189"/>
  <c r="A25" i="189"/>
  <c r="A24" i="189"/>
  <c r="A26" i="190"/>
  <c r="A25" i="190"/>
  <c r="A24" i="190"/>
  <c r="A26" i="222"/>
  <c r="A25" i="222"/>
  <c r="A24" i="222"/>
  <c r="A25" i="221"/>
  <c r="A26" i="221"/>
  <c r="A24" i="221"/>
  <c r="A27" i="225"/>
  <c r="A26" i="225"/>
  <c r="A25" i="225"/>
  <c r="A26" i="224"/>
  <c r="A27" i="224"/>
  <c r="A25" i="224"/>
  <c r="A26" i="196"/>
  <c r="A27" i="196"/>
  <c r="A25" i="196"/>
  <c r="F24" i="229" l="1"/>
  <c r="G24" i="229"/>
  <c r="G24" i="230"/>
  <c r="F24" i="230"/>
  <c r="G26" i="229"/>
  <c r="B26" i="229"/>
  <c r="F26" i="229"/>
  <c r="C26" i="229"/>
  <c r="D26" i="229"/>
  <c r="I26" i="229"/>
  <c r="J26" i="229"/>
  <c r="I26" i="230"/>
  <c r="B26" i="230"/>
  <c r="C26" i="230"/>
  <c r="H26" i="230"/>
  <c r="D26" i="230"/>
  <c r="J26" i="230"/>
  <c r="G26" i="230"/>
  <c r="F26" i="230"/>
  <c r="H26" i="229"/>
  <c r="C18" i="80"/>
  <c r="H30" i="230" l="1"/>
  <c r="J30" i="230"/>
  <c r="C30" i="230"/>
  <c r="E30" i="180"/>
  <c r="I30" i="180"/>
  <c r="B30" i="180"/>
  <c r="F30" i="220"/>
  <c r="J30" i="220"/>
  <c r="I30" i="230"/>
  <c r="D30" i="230"/>
  <c r="B30" i="230"/>
  <c r="F30" i="180"/>
  <c r="J30" i="180"/>
  <c r="C30" i="220"/>
  <c r="G30" i="220"/>
  <c r="G30" i="230"/>
  <c r="C30" i="180"/>
  <c r="G30" i="180"/>
  <c r="D30" i="220"/>
  <c r="H30" i="220"/>
  <c r="B30" i="220"/>
  <c r="F30" i="230"/>
  <c r="D30" i="180"/>
  <c r="H30" i="180"/>
  <c r="E30" i="220"/>
  <c r="I30" i="220"/>
  <c r="L30" i="192"/>
  <c r="M30" i="184"/>
  <c r="I30" i="184"/>
  <c r="G30" i="184"/>
  <c r="E30" i="194"/>
  <c r="J30" i="194"/>
  <c r="B30" i="194"/>
  <c r="H30" i="192"/>
  <c r="M30" i="192"/>
  <c r="Q30" i="192"/>
  <c r="B30" i="189"/>
  <c r="F30" i="222"/>
  <c r="J30" i="222"/>
  <c r="N30" i="222"/>
  <c r="C30" i="222"/>
  <c r="K30" i="184"/>
  <c r="F30" i="194"/>
  <c r="K30" i="194"/>
  <c r="E30" i="192"/>
  <c r="I30" i="192"/>
  <c r="N30" i="192"/>
  <c r="E30" i="189"/>
  <c r="G30" i="222"/>
  <c r="K30" i="222"/>
  <c r="O30" i="222"/>
  <c r="L30" i="184"/>
  <c r="H30" i="184"/>
  <c r="E30" i="184"/>
  <c r="C30" i="184"/>
  <c r="G30" i="194"/>
  <c r="M30" i="194"/>
  <c r="F30" i="192"/>
  <c r="J30" i="192"/>
  <c r="O30" i="192"/>
  <c r="C30" i="192"/>
  <c r="B30" i="192"/>
  <c r="H30" i="222"/>
  <c r="L30" i="222"/>
  <c r="P30" i="222"/>
  <c r="C30" i="194"/>
  <c r="I30" i="194"/>
  <c r="G30" i="192"/>
  <c r="K30" i="192"/>
  <c r="P30" i="192"/>
  <c r="E30" i="222"/>
  <c r="I30" i="222"/>
  <c r="M30" i="222"/>
  <c r="Q30" i="222"/>
  <c r="B30" i="222"/>
  <c r="O32" i="199"/>
  <c r="E31" i="225"/>
  <c r="I31" i="225"/>
  <c r="M31" i="225"/>
  <c r="B31" i="225"/>
  <c r="D32" i="202"/>
  <c r="M32" i="202"/>
  <c r="B32" i="202"/>
  <c r="C32" i="199"/>
  <c r="M32" i="199"/>
  <c r="M32" i="198"/>
  <c r="E32" i="234"/>
  <c r="I32" i="234"/>
  <c r="M32" i="234"/>
  <c r="E31" i="196"/>
  <c r="I31" i="196"/>
  <c r="E32" i="199"/>
  <c r="F31" i="225"/>
  <c r="J31" i="225"/>
  <c r="N31" i="225"/>
  <c r="E32" i="202"/>
  <c r="N32" i="202"/>
  <c r="D32" i="199"/>
  <c r="P32" i="199"/>
  <c r="C32" i="198"/>
  <c r="P32" i="198"/>
  <c r="F32" i="234"/>
  <c r="J32" i="234"/>
  <c r="N32" i="234"/>
  <c r="F31" i="196"/>
  <c r="J31" i="196"/>
  <c r="C31" i="225"/>
  <c r="G31" i="225"/>
  <c r="K31" i="225"/>
  <c r="O31" i="225"/>
  <c r="F32" i="202"/>
  <c r="O32" i="202"/>
  <c r="F32" i="199"/>
  <c r="B32" i="199"/>
  <c r="F32" i="198"/>
  <c r="B32" i="198"/>
  <c r="C32" i="234"/>
  <c r="G32" i="234"/>
  <c r="K32" i="234"/>
  <c r="O32" i="234"/>
  <c r="C31" i="196"/>
  <c r="G31" i="196"/>
  <c r="K31" i="196"/>
  <c r="N32" i="199"/>
  <c r="D31" i="225"/>
  <c r="H31" i="225"/>
  <c r="L31" i="225"/>
  <c r="P31" i="225"/>
  <c r="C32" i="202"/>
  <c r="L32" i="202"/>
  <c r="P32" i="202"/>
  <c r="L32" i="199"/>
  <c r="L32" i="198"/>
  <c r="D32" i="234"/>
  <c r="H32" i="234"/>
  <c r="L32" i="234"/>
  <c r="P32" i="234"/>
  <c r="B32" i="234"/>
  <c r="D31" i="196"/>
  <c r="H31" i="196"/>
  <c r="L31" i="196"/>
  <c r="B31" i="196"/>
  <c r="A14" i="55"/>
  <c r="D11" i="226" l="1"/>
  <c r="D12" i="226" s="1"/>
  <c r="D13" i="226" s="1"/>
  <c r="D14" i="226" s="1"/>
  <c r="D15" i="226" s="1"/>
  <c r="D16" i="226" s="1"/>
  <c r="D17" i="226" s="1"/>
  <c r="D18" i="226" s="1"/>
  <c r="A11" i="226"/>
  <c r="A12" i="226" s="1"/>
  <c r="A13" i="226" s="1"/>
  <c r="A14" i="226" s="1"/>
  <c r="A15" i="226" s="1"/>
  <c r="A16" i="226" s="1"/>
  <c r="A17" i="226" s="1"/>
  <c r="A18" i="226" s="1"/>
  <c r="D19" i="226" l="1"/>
  <c r="D20" i="226" s="1"/>
  <c r="D21" i="226" s="1"/>
  <c r="D22" i="226" s="1"/>
  <c r="D23" i="226" s="1"/>
  <c r="D24" i="226" s="1"/>
  <c r="D25" i="226" s="1"/>
  <c r="A19" i="226"/>
  <c r="A20" i="226" s="1"/>
  <c r="A21" i="226" s="1"/>
  <c r="A22" i="226" s="1"/>
  <c r="A23" i="226" s="1"/>
  <c r="A24" i="226" s="1"/>
  <c r="A25" i="226" s="1"/>
  <c r="A26" i="226" l="1"/>
  <c r="A27" i="226" s="1"/>
  <c r="A28" i="226" s="1"/>
  <c r="A29" i="226" s="1"/>
  <c r="A30" i="226" s="1"/>
  <c r="A31" i="226" s="1"/>
  <c r="A32" i="226" s="1"/>
  <c r="A33" i="226" s="1"/>
  <c r="D26" i="226"/>
  <c r="D27" i="226" s="1"/>
  <c r="D28" i="226" s="1"/>
  <c r="D29" i="226" s="1"/>
  <c r="D30" i="226" s="1"/>
  <c r="D31" i="226" s="1"/>
  <c r="D32" i="226" s="1"/>
  <c r="D33" i="226" s="1"/>
  <c r="D34" i="226" s="1"/>
  <c r="D35" i="226" s="1"/>
  <c r="D36" i="226" s="1"/>
  <c r="D37" i="226" l="1"/>
  <c r="D38" i="226" s="1"/>
  <c r="D39" i="226" s="1"/>
  <c r="D40" i="226" s="1"/>
  <c r="D41" i="226" s="1"/>
  <c r="D42" i="226" s="1"/>
  <c r="D43" i="226" s="1"/>
  <c r="D44" i="226" s="1"/>
  <c r="D45" i="226" s="1"/>
  <c r="D46" i="226" s="1"/>
  <c r="A34" i="226"/>
  <c r="A35" i="226" s="1"/>
  <c r="A36" i="226" s="1"/>
  <c r="A37" i="226" s="1"/>
  <c r="A38" i="226" s="1"/>
  <c r="A39" i="226" s="1"/>
  <c r="A40" i="226" s="1"/>
  <c r="A41" i="226" s="1"/>
  <c r="A42" i="226" s="1"/>
  <c r="A43" i="226" s="1"/>
  <c r="A44" i="226" s="1"/>
  <c r="A45" i="226" s="1"/>
  <c r="A46" i="226" s="1"/>
  <c r="A47" i="226" l="1"/>
  <c r="A48" i="226" s="1"/>
  <c r="A49" i="226" s="1"/>
  <c r="A50" i="226" s="1"/>
  <c r="A51" i="226" s="1"/>
  <c r="A52" i="226" s="1"/>
  <c r="A53" i="226" s="1"/>
  <c r="A54" i="226" s="1"/>
  <c r="A55" i="226" s="1"/>
  <c r="A56" i="226" s="1"/>
  <c r="A57" i="226" s="1"/>
  <c r="A58" i="226" s="1"/>
  <c r="D47" i="226"/>
  <c r="D48" i="226" s="1"/>
  <c r="D49" i="226" s="1"/>
  <c r="D50" i="226" s="1"/>
  <c r="D51" i="226" s="1"/>
  <c r="D52" i="226" s="1"/>
  <c r="D53" i="226" s="1"/>
  <c r="D54" i="226" s="1"/>
  <c r="D55" i="226" s="1"/>
  <c r="D56" i="226" s="1"/>
  <c r="D57" i="226" s="1"/>
  <c r="D58" i="226" s="1"/>
  <c r="F41" i="157"/>
  <c r="F40" i="151"/>
  <c r="F41" i="151"/>
  <c r="D59" i="226" l="1"/>
  <c r="D60" i="226" s="1"/>
  <c r="D61" i="226" s="1"/>
  <c r="D62" i="226" s="1"/>
  <c r="D63" i="226" s="1"/>
  <c r="D64" i="226" s="1"/>
  <c r="D65" i="226" s="1"/>
  <c r="D66" i="226" s="1"/>
  <c r="D67" i="226" s="1"/>
  <c r="D68" i="226" s="1"/>
  <c r="D69" i="226" s="1"/>
  <c r="D70" i="226" s="1"/>
  <c r="D71" i="226" s="1"/>
  <c r="D72" i="226" s="1"/>
  <c r="D73" i="226" s="1"/>
  <c r="D74" i="226" s="1"/>
  <c r="A59" i="226"/>
  <c r="A60" i="226" s="1"/>
  <c r="A61" i="226" s="1"/>
  <c r="A62" i="226" s="1"/>
  <c r="A63" i="226" s="1"/>
  <c r="A64" i="226" s="1"/>
  <c r="A65" i="226" s="1"/>
  <c r="A66" i="226" s="1"/>
  <c r="A67" i="226" s="1"/>
  <c r="A68" i="226" s="1"/>
  <c r="A69" i="226" s="1"/>
  <c r="A70" i="226" s="1"/>
  <c r="A71" i="226" s="1"/>
  <c r="A72" i="226" s="1"/>
  <c r="A73" i="226" s="1"/>
  <c r="A74" i="226" s="1"/>
  <c r="F15" i="151"/>
  <c r="H15" i="151" s="1"/>
  <c r="G47" i="151"/>
  <c r="B47" i="96"/>
  <c r="D78" i="226" l="1"/>
  <c r="D79" i="226" s="1"/>
  <c r="D75" i="226"/>
  <c r="D76" i="226" s="1"/>
  <c r="D77" i="226" s="1"/>
  <c r="A75" i="226"/>
  <c r="A76" i="226" s="1"/>
  <c r="A77" i="226" s="1"/>
  <c r="A78" i="226" s="1"/>
  <c r="A79" i="226" s="1"/>
  <c r="M11" i="8"/>
  <c r="O11" i="8" l="1"/>
  <c r="O10" i="50"/>
  <c r="P42" i="8"/>
  <c r="J42" i="8"/>
  <c r="Q42" i="8"/>
  <c r="S42" i="8"/>
  <c r="R42" i="8"/>
  <c r="M10" i="8"/>
  <c r="K42" i="8"/>
  <c r="T9" i="8"/>
  <c r="M9" i="8"/>
  <c r="L42" i="8"/>
  <c r="I42" i="8"/>
  <c r="P12" i="200"/>
  <c r="P14" i="200"/>
  <c r="P15" i="200"/>
  <c r="P17" i="200"/>
  <c r="P18" i="200"/>
  <c r="P19" i="200"/>
  <c r="P20" i="200"/>
  <c r="P21" i="200"/>
  <c r="P22" i="200"/>
  <c r="P23" i="200"/>
  <c r="P24" i="200"/>
  <c r="P25" i="200"/>
  <c r="P26" i="200"/>
  <c r="P27" i="200"/>
  <c r="P28" i="200"/>
  <c r="P29" i="200"/>
  <c r="P30" i="200"/>
  <c r="P31" i="200"/>
  <c r="P32" i="200"/>
  <c r="P33" i="200"/>
  <c r="P34" i="200"/>
  <c r="P35" i="200"/>
  <c r="P36" i="200"/>
  <c r="P37" i="200"/>
  <c r="P38" i="200"/>
  <c r="L12" i="200"/>
  <c r="L14" i="200"/>
  <c r="L15" i="200"/>
  <c r="L17" i="200"/>
  <c r="L18" i="200"/>
  <c r="L19" i="200"/>
  <c r="L20" i="200"/>
  <c r="L21" i="200"/>
  <c r="L22" i="200"/>
  <c r="L23" i="200"/>
  <c r="L24" i="200"/>
  <c r="L25" i="200"/>
  <c r="L26" i="200"/>
  <c r="L27" i="200"/>
  <c r="L28" i="200"/>
  <c r="L29" i="200"/>
  <c r="L30" i="200"/>
  <c r="L31" i="200"/>
  <c r="L32" i="200"/>
  <c r="L33" i="200"/>
  <c r="L34" i="200"/>
  <c r="L35" i="200"/>
  <c r="L36" i="200"/>
  <c r="L37" i="200"/>
  <c r="L38" i="200"/>
  <c r="H12" i="200"/>
  <c r="H14" i="200"/>
  <c r="H15" i="200"/>
  <c r="H17" i="200"/>
  <c r="H18" i="200"/>
  <c r="H19" i="200"/>
  <c r="H20" i="200"/>
  <c r="H21" i="200"/>
  <c r="H22" i="200"/>
  <c r="H23" i="200"/>
  <c r="H24" i="200"/>
  <c r="H25" i="200"/>
  <c r="H26" i="200"/>
  <c r="H27" i="200"/>
  <c r="H28" i="200"/>
  <c r="H29" i="200"/>
  <c r="H30" i="200"/>
  <c r="H31" i="200"/>
  <c r="H32" i="200"/>
  <c r="H33" i="200"/>
  <c r="H34" i="200"/>
  <c r="H35" i="200"/>
  <c r="H36" i="200"/>
  <c r="H37" i="200"/>
  <c r="H38" i="200"/>
  <c r="O10" i="8" l="1"/>
  <c r="O9" i="50"/>
  <c r="O9" i="8"/>
  <c r="O8" i="50"/>
  <c r="V9" i="8"/>
  <c r="P8" i="50"/>
  <c r="H8" i="200"/>
  <c r="L8" i="200"/>
  <c r="D8" i="200"/>
  <c r="AA9" i="8"/>
  <c r="P8" i="200"/>
  <c r="AC9" i="8" l="1"/>
  <c r="Q8" i="50"/>
  <c r="R8" i="50" s="1"/>
  <c r="T8" i="200"/>
  <c r="AH9" i="8"/>
  <c r="AJ9" i="8" s="1"/>
  <c r="D17" i="200" l="1"/>
  <c r="D18" i="200"/>
  <c r="J29" i="154" l="1"/>
  <c r="K29" i="154"/>
  <c r="L29" i="154"/>
  <c r="J30" i="154"/>
  <c r="K30" i="154"/>
  <c r="L30" i="154"/>
  <c r="J31" i="154"/>
  <c r="K31" i="154"/>
  <c r="L31" i="154"/>
  <c r="J32" i="154"/>
  <c r="K32" i="154"/>
  <c r="L32" i="154"/>
  <c r="J33" i="154"/>
  <c r="K33" i="154"/>
  <c r="L33" i="154"/>
  <c r="J34" i="154"/>
  <c r="K34" i="154"/>
  <c r="L34" i="154"/>
  <c r="J35" i="154"/>
  <c r="K35" i="154"/>
  <c r="L35" i="154"/>
  <c r="J36" i="154"/>
  <c r="K36" i="154"/>
  <c r="L36" i="154"/>
  <c r="J37" i="154"/>
  <c r="K37" i="154"/>
  <c r="L37" i="154"/>
  <c r="F29" i="154"/>
  <c r="G29" i="154"/>
  <c r="H29" i="154"/>
  <c r="F30" i="154"/>
  <c r="G30" i="154"/>
  <c r="H30" i="154"/>
  <c r="F31" i="154"/>
  <c r="G31" i="154"/>
  <c r="H31" i="154"/>
  <c r="F32" i="154"/>
  <c r="G32" i="154"/>
  <c r="H32" i="154"/>
  <c r="F33" i="154"/>
  <c r="G33" i="154"/>
  <c r="H33" i="154"/>
  <c r="F34" i="154"/>
  <c r="G34" i="154"/>
  <c r="H34" i="154"/>
  <c r="F35" i="154"/>
  <c r="G35" i="154"/>
  <c r="H35" i="154"/>
  <c r="F36" i="154"/>
  <c r="G36" i="154"/>
  <c r="H36" i="154"/>
  <c r="F37" i="154"/>
  <c r="G37" i="154"/>
  <c r="H37" i="154"/>
  <c r="J29" i="156"/>
  <c r="K29" i="156"/>
  <c r="L29" i="156"/>
  <c r="J30" i="156"/>
  <c r="K30" i="156"/>
  <c r="L30" i="156"/>
  <c r="J31" i="156"/>
  <c r="K31" i="156"/>
  <c r="L31" i="156"/>
  <c r="J32" i="156"/>
  <c r="K32" i="156"/>
  <c r="L32" i="156"/>
  <c r="J33" i="156"/>
  <c r="K33" i="156"/>
  <c r="L33" i="156"/>
  <c r="J34" i="156"/>
  <c r="K34" i="156"/>
  <c r="L34" i="156"/>
  <c r="J35" i="156"/>
  <c r="K35" i="156"/>
  <c r="L35" i="156"/>
  <c r="J36" i="156"/>
  <c r="K36" i="156"/>
  <c r="L36" i="156"/>
  <c r="J37" i="156"/>
  <c r="K37" i="156"/>
  <c r="L37" i="156"/>
  <c r="F29" i="156"/>
  <c r="G29" i="156"/>
  <c r="H29" i="156"/>
  <c r="F30" i="156"/>
  <c r="G30" i="156"/>
  <c r="H30" i="156"/>
  <c r="F31" i="156"/>
  <c r="G31" i="156"/>
  <c r="H31" i="156"/>
  <c r="F32" i="156"/>
  <c r="G32" i="156"/>
  <c r="H32" i="156"/>
  <c r="F33" i="156"/>
  <c r="G33" i="156"/>
  <c r="H33" i="156"/>
  <c r="F34" i="156"/>
  <c r="G34" i="156"/>
  <c r="H34" i="156"/>
  <c r="F35" i="156"/>
  <c r="G35" i="156"/>
  <c r="H35" i="156"/>
  <c r="F36" i="156"/>
  <c r="G36" i="156"/>
  <c r="H36" i="156"/>
  <c r="F37" i="156"/>
  <c r="G37" i="156"/>
  <c r="H37" i="156"/>
  <c r="J29" i="159"/>
  <c r="K29" i="159"/>
  <c r="L29" i="159"/>
  <c r="J30" i="159"/>
  <c r="K30" i="159"/>
  <c r="L30" i="159"/>
  <c r="J31" i="159"/>
  <c r="K31" i="159"/>
  <c r="L31" i="159"/>
  <c r="J32" i="159"/>
  <c r="K32" i="159"/>
  <c r="L32" i="159"/>
  <c r="J33" i="159"/>
  <c r="K33" i="159"/>
  <c r="L33" i="159"/>
  <c r="J34" i="159"/>
  <c r="K34" i="159"/>
  <c r="L34" i="159"/>
  <c r="J35" i="159"/>
  <c r="K35" i="159"/>
  <c r="L35" i="159"/>
  <c r="J36" i="159"/>
  <c r="K36" i="159"/>
  <c r="L36" i="159"/>
  <c r="J37" i="159"/>
  <c r="K37" i="159"/>
  <c r="L37" i="159"/>
  <c r="F29" i="159"/>
  <c r="G29" i="159"/>
  <c r="H29" i="159"/>
  <c r="F30" i="159"/>
  <c r="G30" i="159"/>
  <c r="H30" i="159"/>
  <c r="F31" i="159"/>
  <c r="G31" i="159"/>
  <c r="H31" i="159"/>
  <c r="F32" i="159"/>
  <c r="G32" i="159"/>
  <c r="H32" i="159"/>
  <c r="F33" i="159"/>
  <c r="G33" i="159"/>
  <c r="H33" i="159"/>
  <c r="F34" i="159"/>
  <c r="G34" i="159"/>
  <c r="H34" i="159"/>
  <c r="F35" i="159"/>
  <c r="G35" i="159"/>
  <c r="H35" i="159"/>
  <c r="F36" i="159"/>
  <c r="G36" i="159"/>
  <c r="H36" i="159"/>
  <c r="F37" i="159"/>
  <c r="G37" i="159"/>
  <c r="H37" i="159"/>
  <c r="D30" i="159"/>
  <c r="B31" i="159"/>
  <c r="H31" i="160"/>
  <c r="D32" i="160"/>
  <c r="B29" i="159"/>
  <c r="C29" i="159"/>
  <c r="B30" i="159"/>
  <c r="C30" i="159"/>
  <c r="C31" i="159"/>
  <c r="D31" i="159"/>
  <c r="B32" i="159"/>
  <c r="C32" i="159"/>
  <c r="D32" i="159"/>
  <c r="B33" i="159"/>
  <c r="C33" i="159"/>
  <c r="B34" i="159"/>
  <c r="C34" i="159"/>
  <c r="D34" i="159"/>
  <c r="B35" i="159"/>
  <c r="C35" i="159"/>
  <c r="D35" i="159"/>
  <c r="B36" i="159"/>
  <c r="C36" i="159"/>
  <c r="D36" i="159"/>
  <c r="B37" i="159"/>
  <c r="C37" i="159"/>
  <c r="D37" i="159"/>
  <c r="J29" i="160"/>
  <c r="K29" i="160"/>
  <c r="J30" i="160"/>
  <c r="K30" i="160"/>
  <c r="J31" i="160"/>
  <c r="K31" i="160"/>
  <c r="L31" i="160"/>
  <c r="J32" i="160"/>
  <c r="K32" i="160"/>
  <c r="L32" i="160"/>
  <c r="J33" i="160"/>
  <c r="K33" i="160"/>
  <c r="J34" i="160"/>
  <c r="K34" i="160"/>
  <c r="L34" i="160"/>
  <c r="J35" i="160"/>
  <c r="K35" i="160"/>
  <c r="L35" i="160"/>
  <c r="J36" i="160"/>
  <c r="K36" i="160"/>
  <c r="L36" i="160"/>
  <c r="J37" i="160"/>
  <c r="K37" i="160"/>
  <c r="L37" i="160"/>
  <c r="F29" i="160"/>
  <c r="G29" i="160"/>
  <c r="H29" i="160"/>
  <c r="F30" i="160"/>
  <c r="G30" i="160"/>
  <c r="F31" i="160"/>
  <c r="G31" i="160"/>
  <c r="F32" i="160"/>
  <c r="G32" i="160"/>
  <c r="H32" i="160"/>
  <c r="F33" i="160"/>
  <c r="G33" i="160"/>
  <c r="H33" i="160"/>
  <c r="F34" i="160"/>
  <c r="G34" i="160"/>
  <c r="H34" i="160"/>
  <c r="F35" i="160"/>
  <c r="G35" i="160"/>
  <c r="H35" i="160"/>
  <c r="F36" i="160"/>
  <c r="G36" i="160"/>
  <c r="H36" i="160"/>
  <c r="F37" i="160"/>
  <c r="G37" i="160"/>
  <c r="H37" i="160"/>
  <c r="B29" i="160"/>
  <c r="C29" i="160"/>
  <c r="D29" i="160"/>
  <c r="B30" i="160"/>
  <c r="C30" i="160"/>
  <c r="D30" i="160"/>
  <c r="B31" i="160"/>
  <c r="C31" i="160"/>
  <c r="B32" i="160"/>
  <c r="C32" i="160"/>
  <c r="B33" i="160"/>
  <c r="C33" i="160"/>
  <c r="D33" i="160"/>
  <c r="B34" i="160"/>
  <c r="C34" i="160"/>
  <c r="D34" i="160"/>
  <c r="B35" i="160"/>
  <c r="C35" i="160"/>
  <c r="D35" i="160"/>
  <c r="B36" i="160"/>
  <c r="C36" i="160"/>
  <c r="D36" i="160"/>
  <c r="B37" i="160"/>
  <c r="C37" i="160"/>
  <c r="D37" i="160"/>
  <c r="J30" i="200"/>
  <c r="K30" i="200"/>
  <c r="J31" i="200"/>
  <c r="K31" i="200"/>
  <c r="J32" i="200"/>
  <c r="K32" i="200"/>
  <c r="J33" i="200"/>
  <c r="K33" i="200"/>
  <c r="J34" i="200"/>
  <c r="K34" i="200"/>
  <c r="J35" i="200"/>
  <c r="K35" i="200"/>
  <c r="J36" i="200"/>
  <c r="K36" i="200"/>
  <c r="J37" i="200"/>
  <c r="K37" i="200"/>
  <c r="J38" i="200"/>
  <c r="K38" i="200"/>
  <c r="F30" i="200"/>
  <c r="G30" i="200"/>
  <c r="F31" i="200"/>
  <c r="G31" i="200"/>
  <c r="F32" i="200"/>
  <c r="G32" i="200"/>
  <c r="F33" i="200"/>
  <c r="G33" i="200"/>
  <c r="F34" i="200"/>
  <c r="G34" i="200"/>
  <c r="F35" i="200"/>
  <c r="G35" i="200"/>
  <c r="F36" i="200"/>
  <c r="G36" i="200"/>
  <c r="F37" i="200"/>
  <c r="G37" i="200"/>
  <c r="F38" i="200"/>
  <c r="G38" i="200"/>
  <c r="B30" i="200"/>
  <c r="C30" i="200"/>
  <c r="B31" i="200"/>
  <c r="C31" i="200"/>
  <c r="B32" i="200"/>
  <c r="C32" i="200"/>
  <c r="B33" i="200"/>
  <c r="C33" i="200"/>
  <c r="B34" i="200"/>
  <c r="C34" i="200"/>
  <c r="B35" i="200"/>
  <c r="C35" i="200"/>
  <c r="B36" i="200"/>
  <c r="C36" i="200"/>
  <c r="B37" i="200"/>
  <c r="C37" i="200"/>
  <c r="B38" i="200"/>
  <c r="C38" i="200"/>
  <c r="J30" i="162"/>
  <c r="K30" i="162"/>
  <c r="J31" i="162"/>
  <c r="K31" i="162"/>
  <c r="J32" i="162"/>
  <c r="K32" i="162"/>
  <c r="L32" i="162"/>
  <c r="J33" i="162"/>
  <c r="K33" i="162"/>
  <c r="L33" i="162"/>
  <c r="J34" i="162"/>
  <c r="K34" i="162"/>
  <c r="J35" i="162"/>
  <c r="K35" i="162"/>
  <c r="L35" i="162"/>
  <c r="J36" i="162"/>
  <c r="K36" i="162"/>
  <c r="L36" i="162"/>
  <c r="J37" i="162"/>
  <c r="K37" i="162"/>
  <c r="L37" i="162"/>
  <c r="J38" i="162"/>
  <c r="K38" i="162"/>
  <c r="L38" i="162"/>
  <c r="F30" i="162"/>
  <c r="G30" i="162"/>
  <c r="H30" i="162"/>
  <c r="F31" i="162"/>
  <c r="G31" i="162"/>
  <c r="F32" i="162"/>
  <c r="G32" i="162"/>
  <c r="F33" i="162"/>
  <c r="G33" i="162"/>
  <c r="H33" i="162"/>
  <c r="F34" i="162"/>
  <c r="G34" i="162"/>
  <c r="H34" i="162"/>
  <c r="F35" i="162"/>
  <c r="G35" i="162"/>
  <c r="H35" i="162"/>
  <c r="F36" i="162"/>
  <c r="G36" i="162"/>
  <c r="H36" i="162"/>
  <c r="F37" i="162"/>
  <c r="G37" i="162"/>
  <c r="H37" i="162"/>
  <c r="F38" i="162"/>
  <c r="G38" i="162"/>
  <c r="H38" i="162"/>
  <c r="B30" i="162"/>
  <c r="C30" i="162"/>
  <c r="D30" i="162"/>
  <c r="B31" i="162"/>
  <c r="C31" i="162"/>
  <c r="D31" i="162"/>
  <c r="B32" i="162"/>
  <c r="C32" i="162"/>
  <c r="B33" i="162"/>
  <c r="C33" i="162"/>
  <c r="B34" i="162"/>
  <c r="C34" i="162"/>
  <c r="D34" i="162"/>
  <c r="B35" i="162"/>
  <c r="C35" i="162"/>
  <c r="D35" i="162"/>
  <c r="B36" i="162"/>
  <c r="C36" i="162"/>
  <c r="D36" i="162"/>
  <c r="B37" i="162"/>
  <c r="C37" i="162"/>
  <c r="D37" i="162"/>
  <c r="B38" i="162"/>
  <c r="C38" i="162"/>
  <c r="D38" i="162"/>
  <c r="J30" i="91"/>
  <c r="K30" i="91"/>
  <c r="L30" i="91"/>
  <c r="J31" i="91"/>
  <c r="K31" i="91"/>
  <c r="L31" i="91"/>
  <c r="J32" i="91"/>
  <c r="K32" i="91"/>
  <c r="J33" i="91"/>
  <c r="K33" i="91"/>
  <c r="J34" i="91"/>
  <c r="K34" i="91"/>
  <c r="L34" i="91"/>
  <c r="J35" i="91"/>
  <c r="K35" i="91"/>
  <c r="L35" i="91"/>
  <c r="J36" i="91"/>
  <c r="K36" i="91"/>
  <c r="L36" i="91"/>
  <c r="J37" i="91"/>
  <c r="K37" i="91"/>
  <c r="L37" i="91"/>
  <c r="J38" i="91"/>
  <c r="K38" i="91"/>
  <c r="L38" i="91"/>
  <c r="F30" i="91"/>
  <c r="G30" i="91"/>
  <c r="F31" i="91"/>
  <c r="G31" i="91"/>
  <c r="H31" i="91"/>
  <c r="F32" i="91"/>
  <c r="G32" i="91"/>
  <c r="H32" i="91"/>
  <c r="F33" i="91"/>
  <c r="G33" i="91"/>
  <c r="F34" i="91"/>
  <c r="G34" i="91"/>
  <c r="F35" i="91"/>
  <c r="G35" i="91"/>
  <c r="H35" i="91"/>
  <c r="F36" i="91"/>
  <c r="G36" i="91"/>
  <c r="H36" i="91"/>
  <c r="F37" i="91"/>
  <c r="G37" i="91"/>
  <c r="H37" i="91"/>
  <c r="F38" i="91"/>
  <c r="G38" i="91"/>
  <c r="H38" i="91"/>
  <c r="B30" i="91"/>
  <c r="C30" i="91"/>
  <c r="B31" i="91"/>
  <c r="C31" i="91"/>
  <c r="B32" i="91"/>
  <c r="C32" i="91"/>
  <c r="D32" i="91"/>
  <c r="B33" i="91"/>
  <c r="C33" i="91"/>
  <c r="D33" i="91"/>
  <c r="B34" i="91"/>
  <c r="C34" i="91"/>
  <c r="B35" i="91"/>
  <c r="C35" i="91"/>
  <c r="D35" i="91"/>
  <c r="B36" i="91"/>
  <c r="C36" i="91"/>
  <c r="D36" i="91"/>
  <c r="B37" i="91"/>
  <c r="C37" i="91"/>
  <c r="D37" i="91"/>
  <c r="B38" i="91"/>
  <c r="C38" i="91"/>
  <c r="D38" i="91"/>
  <c r="J29" i="173"/>
  <c r="K29" i="173"/>
  <c r="L29" i="173"/>
  <c r="J30" i="173"/>
  <c r="K30" i="173"/>
  <c r="L30" i="173"/>
  <c r="J31" i="173"/>
  <c r="K31" i="173"/>
  <c r="L31" i="173"/>
  <c r="J32" i="173"/>
  <c r="K32" i="173"/>
  <c r="L32" i="173"/>
  <c r="J33" i="173"/>
  <c r="K33" i="173"/>
  <c r="L33" i="173"/>
  <c r="J34" i="173"/>
  <c r="K34" i="173"/>
  <c r="L34" i="173"/>
  <c r="J35" i="173"/>
  <c r="K35" i="173"/>
  <c r="L35" i="173"/>
  <c r="J36" i="173"/>
  <c r="K36" i="173"/>
  <c r="L36" i="173"/>
  <c r="J37" i="173"/>
  <c r="K37" i="173"/>
  <c r="L37" i="173"/>
  <c r="F29" i="173"/>
  <c r="G29" i="173"/>
  <c r="H29" i="173"/>
  <c r="F30" i="173"/>
  <c r="G30" i="173"/>
  <c r="H30" i="173"/>
  <c r="F31" i="173"/>
  <c r="G31" i="173"/>
  <c r="H31" i="173"/>
  <c r="F32" i="173"/>
  <c r="G32" i="173"/>
  <c r="H32" i="173"/>
  <c r="F33" i="173"/>
  <c r="G33" i="173"/>
  <c r="H33" i="173"/>
  <c r="F34" i="173"/>
  <c r="G34" i="173"/>
  <c r="H34" i="173"/>
  <c r="F35" i="173"/>
  <c r="G35" i="173"/>
  <c r="H35" i="173"/>
  <c r="F36" i="173"/>
  <c r="G36" i="173"/>
  <c r="H36" i="173"/>
  <c r="F37" i="173"/>
  <c r="G37" i="173"/>
  <c r="H37" i="173"/>
  <c r="B29" i="173"/>
  <c r="C29" i="173"/>
  <c r="D29" i="173"/>
  <c r="B30" i="173"/>
  <c r="C30" i="173"/>
  <c r="D30" i="173"/>
  <c r="B31" i="173"/>
  <c r="C31" i="173"/>
  <c r="D31" i="173"/>
  <c r="B32" i="173"/>
  <c r="C32" i="173"/>
  <c r="D32" i="173"/>
  <c r="B33" i="173"/>
  <c r="C33" i="173"/>
  <c r="D33" i="173"/>
  <c r="B34" i="173"/>
  <c r="C34" i="173"/>
  <c r="D34" i="173"/>
  <c r="B35" i="173"/>
  <c r="C35" i="173"/>
  <c r="D35" i="173"/>
  <c r="B36" i="173"/>
  <c r="C36" i="173"/>
  <c r="D36" i="173"/>
  <c r="B37" i="173"/>
  <c r="C37" i="173"/>
  <c r="D37" i="173"/>
  <c r="J29" i="172"/>
  <c r="K29" i="172"/>
  <c r="L29" i="172"/>
  <c r="J30" i="172"/>
  <c r="K30" i="172"/>
  <c r="L30" i="172"/>
  <c r="J31" i="172"/>
  <c r="K31" i="172"/>
  <c r="L31" i="172"/>
  <c r="J32" i="172"/>
  <c r="K32" i="172"/>
  <c r="L32" i="172"/>
  <c r="J33" i="172"/>
  <c r="K33" i="172"/>
  <c r="L33" i="172"/>
  <c r="J34" i="172"/>
  <c r="K34" i="172"/>
  <c r="L34" i="172"/>
  <c r="J35" i="172"/>
  <c r="K35" i="172"/>
  <c r="L35" i="172"/>
  <c r="J36" i="172"/>
  <c r="K36" i="172"/>
  <c r="L36" i="172"/>
  <c r="J37" i="172"/>
  <c r="K37" i="172"/>
  <c r="L37" i="172"/>
  <c r="F29" i="172"/>
  <c r="G29" i="172"/>
  <c r="H29" i="172"/>
  <c r="F30" i="172"/>
  <c r="G30" i="172"/>
  <c r="H30" i="172"/>
  <c r="F31" i="172"/>
  <c r="G31" i="172"/>
  <c r="H31" i="172"/>
  <c r="F32" i="172"/>
  <c r="G32" i="172"/>
  <c r="H32" i="172"/>
  <c r="F33" i="172"/>
  <c r="G33" i="172"/>
  <c r="H33" i="172"/>
  <c r="F34" i="172"/>
  <c r="G34" i="172"/>
  <c r="H34" i="172"/>
  <c r="F35" i="172"/>
  <c r="G35" i="172"/>
  <c r="H35" i="172"/>
  <c r="F36" i="172"/>
  <c r="G36" i="172"/>
  <c r="H36" i="172"/>
  <c r="F37" i="172"/>
  <c r="G37" i="172"/>
  <c r="H37" i="172"/>
  <c r="B29" i="172"/>
  <c r="C29" i="172"/>
  <c r="D29" i="172"/>
  <c r="B30" i="172"/>
  <c r="C30" i="172"/>
  <c r="D30" i="172"/>
  <c r="B31" i="172"/>
  <c r="C31" i="172"/>
  <c r="D31" i="172"/>
  <c r="B32" i="172"/>
  <c r="C32" i="172"/>
  <c r="D32" i="172"/>
  <c r="B33" i="172"/>
  <c r="C33" i="172"/>
  <c r="D33" i="172"/>
  <c r="B34" i="172"/>
  <c r="C34" i="172"/>
  <c r="D34" i="172"/>
  <c r="B35" i="172"/>
  <c r="C35" i="172"/>
  <c r="D35" i="172"/>
  <c r="B36" i="172"/>
  <c r="C36" i="172"/>
  <c r="D36" i="172"/>
  <c r="B37" i="172"/>
  <c r="C37" i="172"/>
  <c r="D37" i="172"/>
  <c r="J29" i="171"/>
  <c r="K29" i="171"/>
  <c r="L29" i="171"/>
  <c r="J30" i="171"/>
  <c r="K30" i="171"/>
  <c r="L30" i="171"/>
  <c r="J31" i="171"/>
  <c r="K31" i="171"/>
  <c r="L31" i="171"/>
  <c r="J32" i="171"/>
  <c r="K32" i="171"/>
  <c r="L32" i="171"/>
  <c r="J33" i="171"/>
  <c r="K33" i="171"/>
  <c r="L33" i="171"/>
  <c r="J34" i="171"/>
  <c r="K34" i="171"/>
  <c r="L34" i="171"/>
  <c r="J35" i="171"/>
  <c r="K35" i="171"/>
  <c r="L35" i="171"/>
  <c r="J36" i="171"/>
  <c r="K36" i="171"/>
  <c r="L36" i="171"/>
  <c r="J37" i="171"/>
  <c r="K37" i="171"/>
  <c r="L37" i="171"/>
  <c r="F29" i="171"/>
  <c r="G29" i="171"/>
  <c r="H29" i="171"/>
  <c r="F30" i="171"/>
  <c r="G30" i="171"/>
  <c r="H30" i="171"/>
  <c r="F31" i="171"/>
  <c r="G31" i="171"/>
  <c r="H31" i="171"/>
  <c r="F32" i="171"/>
  <c r="G32" i="171"/>
  <c r="H32" i="171"/>
  <c r="F33" i="171"/>
  <c r="G33" i="171"/>
  <c r="H33" i="171"/>
  <c r="F34" i="171"/>
  <c r="G34" i="171"/>
  <c r="H34" i="171"/>
  <c r="F35" i="171"/>
  <c r="G35" i="171"/>
  <c r="H35" i="171"/>
  <c r="F36" i="171"/>
  <c r="G36" i="171"/>
  <c r="H36" i="171"/>
  <c r="F37" i="171"/>
  <c r="G37" i="171"/>
  <c r="H37" i="171"/>
  <c r="B29" i="171"/>
  <c r="C29" i="171"/>
  <c r="D29" i="171"/>
  <c r="B30" i="171"/>
  <c r="C30" i="171"/>
  <c r="D30" i="171"/>
  <c r="B31" i="171"/>
  <c r="C31" i="171"/>
  <c r="D31" i="171"/>
  <c r="B32" i="171"/>
  <c r="C32" i="171"/>
  <c r="D32" i="171"/>
  <c r="B33" i="171"/>
  <c r="C33" i="171"/>
  <c r="D33" i="171"/>
  <c r="B34" i="171"/>
  <c r="C34" i="171"/>
  <c r="D34" i="171"/>
  <c r="B35" i="171"/>
  <c r="C35" i="171"/>
  <c r="D35" i="171"/>
  <c r="B36" i="171"/>
  <c r="C36" i="171"/>
  <c r="D36" i="171"/>
  <c r="B37" i="171"/>
  <c r="C37" i="171"/>
  <c r="D37" i="171"/>
  <c r="J29" i="170"/>
  <c r="K29" i="170"/>
  <c r="L29" i="170"/>
  <c r="J30" i="170"/>
  <c r="K30" i="170"/>
  <c r="L30" i="170"/>
  <c r="J31" i="170"/>
  <c r="K31" i="170"/>
  <c r="L31" i="170"/>
  <c r="J32" i="170"/>
  <c r="K32" i="170"/>
  <c r="L32" i="170"/>
  <c r="J33" i="170"/>
  <c r="K33" i="170"/>
  <c r="L33" i="170"/>
  <c r="J34" i="170"/>
  <c r="K34" i="170"/>
  <c r="L34" i="170"/>
  <c r="J35" i="170"/>
  <c r="K35" i="170"/>
  <c r="L35" i="170"/>
  <c r="J36" i="170"/>
  <c r="K36" i="170"/>
  <c r="L36" i="170"/>
  <c r="J37" i="170"/>
  <c r="K37" i="170"/>
  <c r="L37" i="170"/>
  <c r="F29" i="170"/>
  <c r="G29" i="170"/>
  <c r="H29" i="170"/>
  <c r="F30" i="170"/>
  <c r="G30" i="170"/>
  <c r="H30" i="170"/>
  <c r="F31" i="170"/>
  <c r="G31" i="170"/>
  <c r="H31" i="170"/>
  <c r="F32" i="170"/>
  <c r="G32" i="170"/>
  <c r="H32" i="170"/>
  <c r="F33" i="170"/>
  <c r="G33" i="170"/>
  <c r="H33" i="170"/>
  <c r="F34" i="170"/>
  <c r="G34" i="170"/>
  <c r="H34" i="170"/>
  <c r="F35" i="170"/>
  <c r="G35" i="170"/>
  <c r="H35" i="170"/>
  <c r="F36" i="170"/>
  <c r="G36" i="170"/>
  <c r="H36" i="170"/>
  <c r="F37" i="170"/>
  <c r="G37" i="170"/>
  <c r="H37" i="170"/>
  <c r="B29" i="170"/>
  <c r="C29" i="170"/>
  <c r="D29" i="170"/>
  <c r="B30" i="170"/>
  <c r="C30" i="170"/>
  <c r="D30" i="170"/>
  <c r="B31" i="170"/>
  <c r="C31" i="170"/>
  <c r="D31" i="170"/>
  <c r="B32" i="170"/>
  <c r="C32" i="170"/>
  <c r="D32" i="170"/>
  <c r="B33" i="170"/>
  <c r="C33" i="170"/>
  <c r="D33" i="170"/>
  <c r="B34" i="170"/>
  <c r="C34" i="170"/>
  <c r="D34" i="170"/>
  <c r="B35" i="170"/>
  <c r="C35" i="170"/>
  <c r="D35" i="170"/>
  <c r="B36" i="170"/>
  <c r="C36" i="170"/>
  <c r="D36" i="170"/>
  <c r="B37" i="170"/>
  <c r="C37" i="170"/>
  <c r="D37" i="170"/>
  <c r="J29" i="169"/>
  <c r="K29" i="169"/>
  <c r="L29" i="169"/>
  <c r="J30" i="169"/>
  <c r="K30" i="169"/>
  <c r="L30" i="169"/>
  <c r="J31" i="169"/>
  <c r="K31" i="169"/>
  <c r="L31" i="169"/>
  <c r="J32" i="169"/>
  <c r="K32" i="169"/>
  <c r="L32" i="169"/>
  <c r="J33" i="169"/>
  <c r="K33" i="169"/>
  <c r="L33" i="169"/>
  <c r="J34" i="169"/>
  <c r="K34" i="169"/>
  <c r="L34" i="169"/>
  <c r="J35" i="169"/>
  <c r="K35" i="169"/>
  <c r="L35" i="169"/>
  <c r="J36" i="169"/>
  <c r="K36" i="169"/>
  <c r="L36" i="169"/>
  <c r="J37" i="169"/>
  <c r="K37" i="169"/>
  <c r="L37" i="169"/>
  <c r="F29" i="169"/>
  <c r="G29" i="169"/>
  <c r="H29" i="169"/>
  <c r="F30" i="169"/>
  <c r="G30" i="169"/>
  <c r="H30" i="169"/>
  <c r="F31" i="169"/>
  <c r="G31" i="169"/>
  <c r="H31" i="169"/>
  <c r="F32" i="169"/>
  <c r="G32" i="169"/>
  <c r="H32" i="169"/>
  <c r="F33" i="169"/>
  <c r="G33" i="169"/>
  <c r="H33" i="169"/>
  <c r="F34" i="169"/>
  <c r="G34" i="169"/>
  <c r="H34" i="169"/>
  <c r="F35" i="169"/>
  <c r="G35" i="169"/>
  <c r="H35" i="169"/>
  <c r="F36" i="169"/>
  <c r="G36" i="169"/>
  <c r="H36" i="169"/>
  <c r="F37" i="169"/>
  <c r="G37" i="169"/>
  <c r="H37" i="169"/>
  <c r="B29" i="169"/>
  <c r="C29" i="169"/>
  <c r="D29" i="169"/>
  <c r="B30" i="169"/>
  <c r="C30" i="169"/>
  <c r="D30" i="169"/>
  <c r="B31" i="169"/>
  <c r="C31" i="169"/>
  <c r="D31" i="169"/>
  <c r="B32" i="169"/>
  <c r="C32" i="169"/>
  <c r="D32" i="169"/>
  <c r="B33" i="169"/>
  <c r="C33" i="169"/>
  <c r="D33" i="169"/>
  <c r="B34" i="169"/>
  <c r="C34" i="169"/>
  <c r="D34" i="169"/>
  <c r="B35" i="169"/>
  <c r="C35" i="169"/>
  <c r="D35" i="169"/>
  <c r="B36" i="169"/>
  <c r="C36" i="169"/>
  <c r="D36" i="169"/>
  <c r="B37" i="169"/>
  <c r="C37" i="169"/>
  <c r="D37" i="169"/>
  <c r="J30" i="168"/>
  <c r="K30" i="168"/>
  <c r="L30" i="168"/>
  <c r="J31" i="168"/>
  <c r="K31" i="168"/>
  <c r="L31" i="168"/>
  <c r="J32" i="168"/>
  <c r="K32" i="168"/>
  <c r="L32" i="168"/>
  <c r="J33" i="168"/>
  <c r="K33" i="168"/>
  <c r="L33" i="168"/>
  <c r="J34" i="168"/>
  <c r="K34" i="168"/>
  <c r="L34" i="168"/>
  <c r="J35" i="168"/>
  <c r="K35" i="168"/>
  <c r="L35" i="168"/>
  <c r="J36" i="168"/>
  <c r="K36" i="168"/>
  <c r="L36" i="168"/>
  <c r="J37" i="168"/>
  <c r="K37" i="168"/>
  <c r="L37" i="168"/>
  <c r="F30" i="168"/>
  <c r="G30" i="168"/>
  <c r="H30" i="168"/>
  <c r="F31" i="168"/>
  <c r="G31" i="168"/>
  <c r="H31" i="168"/>
  <c r="F32" i="168"/>
  <c r="G32" i="168"/>
  <c r="H32" i="168"/>
  <c r="F33" i="168"/>
  <c r="G33" i="168"/>
  <c r="H33" i="168"/>
  <c r="F34" i="168"/>
  <c r="G34" i="168"/>
  <c r="H34" i="168"/>
  <c r="F35" i="168"/>
  <c r="G35" i="168"/>
  <c r="H35" i="168"/>
  <c r="F36" i="168"/>
  <c r="G36" i="168"/>
  <c r="H36" i="168"/>
  <c r="F37" i="168"/>
  <c r="G37" i="168"/>
  <c r="H37" i="168"/>
  <c r="B30" i="168"/>
  <c r="C30" i="168"/>
  <c r="D30" i="168"/>
  <c r="B31" i="168"/>
  <c r="C31" i="168"/>
  <c r="D31" i="168"/>
  <c r="B32" i="168"/>
  <c r="C32" i="168"/>
  <c r="D32" i="168"/>
  <c r="B33" i="168"/>
  <c r="C33" i="168"/>
  <c r="D33" i="168"/>
  <c r="B34" i="168"/>
  <c r="C34" i="168"/>
  <c r="D34" i="168"/>
  <c r="B35" i="168"/>
  <c r="C35" i="168"/>
  <c r="D35" i="168"/>
  <c r="B36" i="168"/>
  <c r="C36" i="168"/>
  <c r="D36" i="168"/>
  <c r="B37" i="168"/>
  <c r="C37" i="168"/>
  <c r="D37" i="168"/>
  <c r="J29" i="167"/>
  <c r="K29" i="167"/>
  <c r="L29" i="167"/>
  <c r="J30" i="167"/>
  <c r="K30" i="167"/>
  <c r="L30" i="167"/>
  <c r="J31" i="167"/>
  <c r="K31" i="167"/>
  <c r="L31" i="167"/>
  <c r="J32" i="167"/>
  <c r="K32" i="167"/>
  <c r="L32" i="167"/>
  <c r="J33" i="167"/>
  <c r="K33" i="167"/>
  <c r="L33" i="167"/>
  <c r="J34" i="167"/>
  <c r="K34" i="167"/>
  <c r="L34" i="167"/>
  <c r="J35" i="167"/>
  <c r="K35" i="167"/>
  <c r="L35" i="167"/>
  <c r="J36" i="167"/>
  <c r="K36" i="167"/>
  <c r="L36" i="167"/>
  <c r="J37" i="167"/>
  <c r="K37" i="167"/>
  <c r="L37" i="167"/>
  <c r="F29" i="167"/>
  <c r="G29" i="167"/>
  <c r="H29" i="167"/>
  <c r="F30" i="167"/>
  <c r="G30" i="167"/>
  <c r="H30" i="167"/>
  <c r="F31" i="167"/>
  <c r="G31" i="167"/>
  <c r="H31" i="167"/>
  <c r="F32" i="167"/>
  <c r="G32" i="167"/>
  <c r="H32" i="167"/>
  <c r="F33" i="167"/>
  <c r="G33" i="167"/>
  <c r="H33" i="167"/>
  <c r="F34" i="167"/>
  <c r="G34" i="167"/>
  <c r="H34" i="167"/>
  <c r="F35" i="167"/>
  <c r="G35" i="167"/>
  <c r="H35" i="167"/>
  <c r="F36" i="167"/>
  <c r="G36" i="167"/>
  <c r="H36" i="167"/>
  <c r="F37" i="167"/>
  <c r="G37" i="167"/>
  <c r="H37" i="167"/>
  <c r="J29" i="166"/>
  <c r="G29" i="166"/>
  <c r="B29" i="167"/>
  <c r="C29" i="167"/>
  <c r="D29" i="167"/>
  <c r="B30" i="167"/>
  <c r="C30" i="167"/>
  <c r="D30" i="167"/>
  <c r="B31" i="167"/>
  <c r="C31" i="167"/>
  <c r="D31" i="167"/>
  <c r="B32" i="167"/>
  <c r="C32" i="167"/>
  <c r="D32" i="167"/>
  <c r="B33" i="167"/>
  <c r="C33" i="167"/>
  <c r="D33" i="167"/>
  <c r="B34" i="167"/>
  <c r="C34" i="167"/>
  <c r="D34" i="167"/>
  <c r="B35" i="167"/>
  <c r="C35" i="167"/>
  <c r="D35" i="167"/>
  <c r="B36" i="167"/>
  <c r="C36" i="167"/>
  <c r="D36" i="167"/>
  <c r="B37" i="167"/>
  <c r="C37" i="167"/>
  <c r="D37" i="167"/>
  <c r="L37" i="166"/>
  <c r="K37" i="166"/>
  <c r="J37" i="166"/>
  <c r="L36" i="166"/>
  <c r="K36" i="166"/>
  <c r="J36" i="166"/>
  <c r="L35" i="166"/>
  <c r="K35" i="166"/>
  <c r="J35" i="166"/>
  <c r="L34" i="166"/>
  <c r="K34" i="166"/>
  <c r="J34" i="166"/>
  <c r="L33" i="166"/>
  <c r="K33" i="166"/>
  <c r="J33" i="166"/>
  <c r="L32" i="166"/>
  <c r="K32" i="166"/>
  <c r="J32" i="166"/>
  <c r="L31" i="166"/>
  <c r="K31" i="166"/>
  <c r="J31" i="166"/>
  <c r="L30" i="166"/>
  <c r="K30" i="166"/>
  <c r="J30" i="166"/>
  <c r="L29" i="166"/>
  <c r="K29" i="166"/>
  <c r="H37" i="166"/>
  <c r="G37" i="166"/>
  <c r="F37" i="166"/>
  <c r="H36" i="166"/>
  <c r="G36" i="166"/>
  <c r="F36" i="166"/>
  <c r="H35" i="166"/>
  <c r="G35" i="166"/>
  <c r="F35" i="166"/>
  <c r="H34" i="166"/>
  <c r="G34" i="166"/>
  <c r="F34" i="166"/>
  <c r="H33" i="166"/>
  <c r="G33" i="166"/>
  <c r="F33" i="166"/>
  <c r="H32" i="166"/>
  <c r="G32" i="166"/>
  <c r="F32" i="166"/>
  <c r="H31" i="166"/>
  <c r="G31" i="166"/>
  <c r="F31" i="166"/>
  <c r="H30" i="166"/>
  <c r="G30" i="166"/>
  <c r="F30" i="166"/>
  <c r="H29" i="166"/>
  <c r="F29" i="166"/>
  <c r="D37" i="166"/>
  <c r="C37" i="166"/>
  <c r="B37" i="166"/>
  <c r="D36" i="166"/>
  <c r="C36" i="166"/>
  <c r="B36" i="166"/>
  <c r="D35" i="166"/>
  <c r="C35" i="166"/>
  <c r="B35" i="166"/>
  <c r="D34" i="166"/>
  <c r="C34" i="166"/>
  <c r="B34" i="166"/>
  <c r="D33" i="166"/>
  <c r="C33" i="166"/>
  <c r="B33" i="166"/>
  <c r="D32" i="166"/>
  <c r="C32" i="166"/>
  <c r="B32" i="166"/>
  <c r="D31" i="166"/>
  <c r="C31" i="166"/>
  <c r="B31" i="166"/>
  <c r="D30" i="166"/>
  <c r="C30" i="166"/>
  <c r="B30" i="166"/>
  <c r="D29" i="166"/>
  <c r="B29" i="166"/>
  <c r="J29" i="165"/>
  <c r="L29" i="165"/>
  <c r="J30" i="165"/>
  <c r="K30" i="165"/>
  <c r="L30" i="165"/>
  <c r="J31" i="165"/>
  <c r="K31" i="165"/>
  <c r="L31" i="165"/>
  <c r="J32" i="165"/>
  <c r="K32" i="165"/>
  <c r="L32" i="165"/>
  <c r="J33" i="165"/>
  <c r="K33" i="165"/>
  <c r="L33" i="165"/>
  <c r="J34" i="165"/>
  <c r="K34" i="165"/>
  <c r="L34" i="165"/>
  <c r="J35" i="165"/>
  <c r="K35" i="165"/>
  <c r="L35" i="165"/>
  <c r="J36" i="165"/>
  <c r="K36" i="165"/>
  <c r="L36" i="165"/>
  <c r="J37" i="165"/>
  <c r="K37" i="165"/>
  <c r="L37" i="165"/>
  <c r="F29" i="165"/>
  <c r="H29" i="165"/>
  <c r="F30" i="165"/>
  <c r="G30" i="165"/>
  <c r="H30" i="165"/>
  <c r="F31" i="165"/>
  <c r="G31" i="165"/>
  <c r="H31" i="165"/>
  <c r="F32" i="165"/>
  <c r="G32" i="165"/>
  <c r="H32" i="165"/>
  <c r="F33" i="165"/>
  <c r="G33" i="165"/>
  <c r="H33" i="165"/>
  <c r="F34" i="165"/>
  <c r="G34" i="165"/>
  <c r="H34" i="165"/>
  <c r="F35" i="165"/>
  <c r="G35" i="165"/>
  <c r="H35" i="165"/>
  <c r="F36" i="165"/>
  <c r="G36" i="165"/>
  <c r="H36" i="165"/>
  <c r="F37" i="165"/>
  <c r="G37" i="165"/>
  <c r="H37" i="165"/>
  <c r="B29" i="165"/>
  <c r="C29" i="165"/>
  <c r="D29" i="165"/>
  <c r="B30" i="165"/>
  <c r="C30" i="165"/>
  <c r="D30" i="165"/>
  <c r="B31" i="165"/>
  <c r="C31" i="165"/>
  <c r="D31" i="165"/>
  <c r="B32" i="165"/>
  <c r="C32" i="165"/>
  <c r="D32" i="165"/>
  <c r="B33" i="165"/>
  <c r="C33" i="165"/>
  <c r="D33" i="165"/>
  <c r="B34" i="165"/>
  <c r="C34" i="165"/>
  <c r="D34" i="165"/>
  <c r="B35" i="165"/>
  <c r="C35" i="165"/>
  <c r="D35" i="165"/>
  <c r="B36" i="165"/>
  <c r="C36" i="165"/>
  <c r="D36" i="165"/>
  <c r="B37" i="165"/>
  <c r="C37" i="165"/>
  <c r="D37" i="165"/>
  <c r="E37" i="165" l="1"/>
  <c r="E33" i="165"/>
  <c r="E30" i="166"/>
  <c r="E34" i="166"/>
  <c r="I32" i="166"/>
  <c r="I36" i="166"/>
  <c r="I36" i="167"/>
  <c r="I32" i="167"/>
  <c r="M37" i="167"/>
  <c r="M33" i="167"/>
  <c r="M29" i="167"/>
  <c r="E34" i="168"/>
  <c r="E30" i="168"/>
  <c r="I34" i="168"/>
  <c r="I30" i="168"/>
  <c r="M34" i="168"/>
  <c r="M30" i="168"/>
  <c r="E34" i="169"/>
  <c r="E30" i="169"/>
  <c r="I35" i="169"/>
  <c r="I31" i="169"/>
  <c r="M36" i="169"/>
  <c r="M32" i="169"/>
  <c r="E37" i="170"/>
  <c r="E33" i="170"/>
  <c r="E29" i="170"/>
  <c r="I34" i="170"/>
  <c r="I30" i="170"/>
  <c r="M35" i="170"/>
  <c r="M31" i="170"/>
  <c r="I29" i="171"/>
  <c r="M34" i="171"/>
  <c r="M30" i="171"/>
  <c r="M37" i="172"/>
  <c r="M33" i="172"/>
  <c r="E32" i="166"/>
  <c r="E34" i="165"/>
  <c r="E30" i="165"/>
  <c r="E33" i="166"/>
  <c r="E37" i="166"/>
  <c r="E35" i="165"/>
  <c r="E31" i="165"/>
  <c r="E36" i="166"/>
  <c r="E36" i="165"/>
  <c r="E32" i="165"/>
  <c r="E31" i="166"/>
  <c r="E35" i="166"/>
  <c r="I36" i="165"/>
  <c r="I32" i="165"/>
  <c r="M34" i="165"/>
  <c r="M30" i="165"/>
  <c r="I30" i="166"/>
  <c r="I34" i="166"/>
  <c r="M31" i="166"/>
  <c r="M35" i="166"/>
  <c r="E34" i="167"/>
  <c r="E30" i="167"/>
  <c r="I34" i="167"/>
  <c r="I30" i="167"/>
  <c r="M35" i="167"/>
  <c r="M31" i="167"/>
  <c r="E36" i="168"/>
  <c r="E32" i="168"/>
  <c r="I36" i="168"/>
  <c r="I32" i="168"/>
  <c r="M36" i="168"/>
  <c r="M32" i="168"/>
  <c r="E36" i="169"/>
  <c r="E32" i="169"/>
  <c r="I37" i="169"/>
  <c r="I33" i="169"/>
  <c r="I29" i="169"/>
  <c r="M34" i="169"/>
  <c r="M30" i="169"/>
  <c r="E35" i="170"/>
  <c r="E31" i="170"/>
  <c r="I36" i="170"/>
  <c r="I32" i="170"/>
  <c r="M37" i="170"/>
  <c r="M33" i="170"/>
  <c r="M29" i="170"/>
  <c r="E37" i="171"/>
  <c r="E33" i="171"/>
  <c r="E29" i="171"/>
  <c r="I34" i="171"/>
  <c r="I31" i="171"/>
  <c r="M36" i="171"/>
  <c r="M32" i="171"/>
  <c r="E36" i="172"/>
  <c r="E32" i="172"/>
  <c r="I37" i="172"/>
  <c r="I33" i="172"/>
  <c r="I29" i="172"/>
  <c r="M35" i="172"/>
  <c r="M30" i="172"/>
  <c r="E35" i="173"/>
  <c r="E31" i="173"/>
  <c r="I36" i="173"/>
  <c r="I32" i="173"/>
  <c r="M37" i="173"/>
  <c r="M33" i="173"/>
  <c r="M29" i="173"/>
  <c r="I35" i="165"/>
  <c r="I31" i="165"/>
  <c r="M37" i="165"/>
  <c r="M33" i="165"/>
  <c r="I31" i="166"/>
  <c r="I35" i="166"/>
  <c r="E37" i="167"/>
  <c r="E33" i="167"/>
  <c r="I37" i="167"/>
  <c r="I33" i="167"/>
  <c r="I29" i="167"/>
  <c r="M34" i="167"/>
  <c r="M30" i="167"/>
  <c r="E35" i="168"/>
  <c r="E31" i="168"/>
  <c r="I35" i="168"/>
  <c r="I31" i="168"/>
  <c r="M35" i="168"/>
  <c r="M31" i="168"/>
  <c r="E35" i="169"/>
  <c r="E31" i="169"/>
  <c r="I36" i="169"/>
  <c r="I32" i="169"/>
  <c r="M37" i="169"/>
  <c r="M33" i="169"/>
  <c r="M29" i="169"/>
  <c r="E34" i="170"/>
  <c r="E30" i="170"/>
  <c r="I35" i="170"/>
  <c r="I31" i="170"/>
  <c r="M36" i="170"/>
  <c r="I33" i="166"/>
  <c r="I37" i="166"/>
  <c r="I35" i="167"/>
  <c r="I31" i="167"/>
  <c r="M36" i="167"/>
  <c r="M32" i="167"/>
  <c r="E37" i="168"/>
  <c r="E33" i="168"/>
  <c r="I37" i="168"/>
  <c r="I33" i="168"/>
  <c r="M37" i="168"/>
  <c r="M33" i="168"/>
  <c r="E37" i="169"/>
  <c r="E33" i="169"/>
  <c r="E29" i="169"/>
  <c r="I34" i="169"/>
  <c r="I30" i="169"/>
  <c r="M35" i="169"/>
  <c r="M31" i="169"/>
  <c r="E36" i="170"/>
  <c r="E32" i="170"/>
  <c r="I37" i="170"/>
  <c r="I33" i="170"/>
  <c r="I29" i="170"/>
  <c r="M34" i="170"/>
  <c r="I37" i="165"/>
  <c r="I33" i="165"/>
  <c r="M35" i="165"/>
  <c r="M31" i="165"/>
  <c r="E35" i="167"/>
  <c r="E31" i="167"/>
  <c r="E29" i="165"/>
  <c r="I34" i="165"/>
  <c r="I30" i="165"/>
  <c r="M36" i="165"/>
  <c r="M32" i="165"/>
  <c r="M33" i="166"/>
  <c r="M37" i="166"/>
  <c r="E36" i="167"/>
  <c r="E32" i="167"/>
  <c r="E35" i="171"/>
  <c r="E31" i="171"/>
  <c r="I36" i="171"/>
  <c r="M29" i="171"/>
  <c r="E34" i="172"/>
  <c r="E30" i="172"/>
  <c r="I35" i="172"/>
  <c r="I31" i="172"/>
  <c r="M32" i="172"/>
  <c r="E37" i="173"/>
  <c r="E33" i="173"/>
  <c r="E29" i="173"/>
  <c r="I34" i="173"/>
  <c r="I30" i="173"/>
  <c r="M35" i="173"/>
  <c r="M31" i="173"/>
  <c r="M32" i="166"/>
  <c r="M36" i="166"/>
  <c r="M32" i="170"/>
  <c r="E36" i="171"/>
  <c r="E32" i="171"/>
  <c r="I37" i="171"/>
  <c r="I33" i="171"/>
  <c r="I30" i="171"/>
  <c r="M35" i="171"/>
  <c r="M31" i="171"/>
  <c r="E35" i="172"/>
  <c r="E31" i="172"/>
  <c r="I36" i="172"/>
  <c r="I32" i="172"/>
  <c r="M34" i="172"/>
  <c r="M29" i="172"/>
  <c r="E34" i="173"/>
  <c r="E30" i="173"/>
  <c r="I35" i="173"/>
  <c r="I31" i="173"/>
  <c r="M36" i="173"/>
  <c r="M32" i="173"/>
  <c r="M30" i="166"/>
  <c r="M34" i="166"/>
  <c r="M30" i="170"/>
  <c r="E34" i="171"/>
  <c r="E30" i="171"/>
  <c r="I35" i="171"/>
  <c r="I32" i="171"/>
  <c r="M37" i="171"/>
  <c r="M33" i="171"/>
  <c r="E37" i="172"/>
  <c r="E33" i="172"/>
  <c r="E29" i="172"/>
  <c r="I34" i="172"/>
  <c r="I30" i="172"/>
  <c r="M36" i="172"/>
  <c r="M31" i="172"/>
  <c r="E36" i="173"/>
  <c r="E32" i="173"/>
  <c r="I37" i="173"/>
  <c r="I33" i="173"/>
  <c r="I29" i="173"/>
  <c r="M34" i="173"/>
  <c r="M30" i="173"/>
  <c r="I34" i="156"/>
  <c r="I30" i="156"/>
  <c r="M35" i="156"/>
  <c r="M31" i="156"/>
  <c r="I35" i="156"/>
  <c r="M32" i="156"/>
  <c r="I37" i="156"/>
  <c r="I33" i="156"/>
  <c r="I29" i="156"/>
  <c r="M34" i="156"/>
  <c r="M30" i="156"/>
  <c r="I31" i="156"/>
  <c r="M36" i="156"/>
  <c r="I36" i="156"/>
  <c r="I32" i="156"/>
  <c r="M37" i="156"/>
  <c r="M33" i="156"/>
  <c r="M29" i="156"/>
  <c r="D34" i="91"/>
  <c r="D30" i="91"/>
  <c r="H33" i="91"/>
  <c r="L32" i="91"/>
  <c r="D32" i="162"/>
  <c r="H31" i="162"/>
  <c r="L34" i="162"/>
  <c r="L30" i="162"/>
  <c r="D31" i="160"/>
  <c r="H30" i="160"/>
  <c r="L33" i="160"/>
  <c r="L29" i="160"/>
  <c r="D33" i="159"/>
  <c r="D29" i="159"/>
  <c r="D31" i="91"/>
  <c r="H34" i="91"/>
  <c r="H30" i="91"/>
  <c r="L33" i="91"/>
  <c r="D33" i="162"/>
  <c r="H32" i="162"/>
  <c r="L31" i="162"/>
  <c r="L30" i="160"/>
  <c r="M29" i="166"/>
  <c r="E29" i="167"/>
  <c r="I29" i="166"/>
  <c r="G29" i="165"/>
  <c r="I29" i="165" s="1"/>
  <c r="K29" i="165"/>
  <c r="M29" i="165" s="1"/>
  <c r="C29" i="166"/>
  <c r="E29" i="166" s="1"/>
  <c r="F29" i="168" l="1"/>
  <c r="G29" i="168"/>
  <c r="H29" i="168"/>
  <c r="L29" i="168"/>
  <c r="J29" i="168"/>
  <c r="K29" i="168"/>
  <c r="M29" i="168" l="1"/>
  <c r="I29" i="168"/>
  <c r="A15" i="222" l="1"/>
  <c r="A15" i="221"/>
  <c r="A15" i="224"/>
  <c r="A15" i="225"/>
  <c r="A15" i="223"/>
  <c r="A15" i="220"/>
  <c r="V8" i="173" l="1"/>
  <c r="V9" i="173"/>
  <c r="V10" i="173"/>
  <c r="V11" i="173"/>
  <c r="V12" i="173"/>
  <c r="V13" i="173"/>
  <c r="V14" i="173"/>
  <c r="V15" i="173"/>
  <c r="V16" i="173"/>
  <c r="V17" i="173"/>
  <c r="V18" i="173"/>
  <c r="V19" i="173"/>
  <c r="V20" i="173"/>
  <c r="V21" i="173"/>
  <c r="V22" i="173"/>
  <c r="V23" i="173"/>
  <c r="V24" i="173"/>
  <c r="V25" i="173"/>
  <c r="V26" i="173"/>
  <c r="V27" i="173"/>
  <c r="V28" i="173"/>
  <c r="V29" i="173"/>
  <c r="V30" i="173"/>
  <c r="X30" i="173"/>
  <c r="V31" i="173"/>
  <c r="W31" i="173"/>
  <c r="X31" i="173"/>
  <c r="V32" i="173"/>
  <c r="W32" i="173"/>
  <c r="X32" i="173"/>
  <c r="V33" i="173"/>
  <c r="W33" i="173"/>
  <c r="X33" i="173"/>
  <c r="V34" i="173"/>
  <c r="W34" i="173"/>
  <c r="X34" i="173"/>
  <c r="V35" i="173"/>
  <c r="W35" i="173"/>
  <c r="X35" i="173"/>
  <c r="V36" i="173"/>
  <c r="W36" i="173"/>
  <c r="X36" i="173"/>
  <c r="V37" i="173"/>
  <c r="W37" i="173"/>
  <c r="X37" i="173"/>
  <c r="V7" i="173"/>
  <c r="V8" i="172"/>
  <c r="V9" i="172"/>
  <c r="V10" i="172"/>
  <c r="V11" i="172"/>
  <c r="V12" i="172"/>
  <c r="V13" i="172"/>
  <c r="V14" i="172"/>
  <c r="V15" i="172"/>
  <c r="V16" i="172"/>
  <c r="V17" i="172"/>
  <c r="V18" i="172"/>
  <c r="V19" i="172"/>
  <c r="V20" i="172"/>
  <c r="V21" i="172"/>
  <c r="V22" i="172"/>
  <c r="V23" i="172"/>
  <c r="V24" i="172"/>
  <c r="V25" i="172"/>
  <c r="V26" i="172"/>
  <c r="V27" i="172"/>
  <c r="V28" i="172"/>
  <c r="V29" i="172"/>
  <c r="V30" i="172"/>
  <c r="X30" i="172"/>
  <c r="V31" i="172"/>
  <c r="W31" i="172"/>
  <c r="X31" i="172"/>
  <c r="V32" i="172"/>
  <c r="W32" i="172"/>
  <c r="X32" i="172"/>
  <c r="V33" i="172"/>
  <c r="W33" i="172"/>
  <c r="X33" i="172"/>
  <c r="V34" i="172"/>
  <c r="W34" i="172"/>
  <c r="X34" i="172"/>
  <c r="V35" i="172"/>
  <c r="W35" i="172"/>
  <c r="X35" i="172"/>
  <c r="V36" i="172"/>
  <c r="W36" i="172"/>
  <c r="X36" i="172"/>
  <c r="V37" i="172"/>
  <c r="W37" i="172"/>
  <c r="X37" i="172"/>
  <c r="V7" i="172"/>
  <c r="Y32" i="171"/>
  <c r="Y36" i="171"/>
  <c r="V8" i="170"/>
  <c r="V9" i="170"/>
  <c r="V10" i="170"/>
  <c r="V11" i="170"/>
  <c r="V12" i="170"/>
  <c r="V13" i="170"/>
  <c r="V14" i="170"/>
  <c r="V15" i="170"/>
  <c r="V16" i="170"/>
  <c r="V17" i="170"/>
  <c r="V18" i="170"/>
  <c r="V19" i="170"/>
  <c r="V20" i="170"/>
  <c r="V21" i="170"/>
  <c r="V22" i="170"/>
  <c r="V23" i="170"/>
  <c r="V24" i="170"/>
  <c r="V25" i="170"/>
  <c r="V26" i="170"/>
  <c r="V27" i="170"/>
  <c r="V28" i="170"/>
  <c r="V29" i="170"/>
  <c r="V30" i="170"/>
  <c r="X30" i="170"/>
  <c r="V31" i="170"/>
  <c r="W31" i="170"/>
  <c r="X31" i="170"/>
  <c r="V32" i="170"/>
  <c r="W32" i="170"/>
  <c r="X32" i="170"/>
  <c r="V33" i="170"/>
  <c r="W33" i="170"/>
  <c r="X33" i="170"/>
  <c r="V34" i="170"/>
  <c r="Y34" i="170" s="1"/>
  <c r="W34" i="170"/>
  <c r="X34" i="170"/>
  <c r="V35" i="170"/>
  <c r="W35" i="170"/>
  <c r="X35" i="170"/>
  <c r="V36" i="170"/>
  <c r="W36" i="170"/>
  <c r="X36" i="170"/>
  <c r="V37" i="170"/>
  <c r="W37" i="170"/>
  <c r="X37" i="170"/>
  <c r="V7" i="170"/>
  <c r="V8" i="169"/>
  <c r="V9" i="169"/>
  <c r="V10" i="169"/>
  <c r="V11" i="169"/>
  <c r="V12" i="169"/>
  <c r="V13" i="169"/>
  <c r="V14" i="169"/>
  <c r="V15" i="169"/>
  <c r="V16" i="169"/>
  <c r="V17" i="169"/>
  <c r="V18" i="169"/>
  <c r="V19" i="169"/>
  <c r="V20" i="169"/>
  <c r="V21" i="169"/>
  <c r="V22" i="169"/>
  <c r="V23" i="169"/>
  <c r="V24" i="169"/>
  <c r="V25" i="169"/>
  <c r="V26" i="169"/>
  <c r="V27" i="169"/>
  <c r="V28" i="169"/>
  <c r="V29" i="169"/>
  <c r="V30" i="169"/>
  <c r="X30" i="169"/>
  <c r="V31" i="169"/>
  <c r="W31" i="169"/>
  <c r="X31" i="169"/>
  <c r="V32" i="169"/>
  <c r="W32" i="169"/>
  <c r="X32" i="169"/>
  <c r="V33" i="169"/>
  <c r="W33" i="169"/>
  <c r="X33" i="169"/>
  <c r="V34" i="169"/>
  <c r="W34" i="169"/>
  <c r="X34" i="169"/>
  <c r="V35" i="169"/>
  <c r="W35" i="169"/>
  <c r="X35" i="169"/>
  <c r="V36" i="169"/>
  <c r="W36" i="169"/>
  <c r="X36" i="169"/>
  <c r="V37" i="169"/>
  <c r="W37" i="169"/>
  <c r="X37" i="169"/>
  <c r="V7" i="169"/>
  <c r="V30" i="168"/>
  <c r="X30" i="168"/>
  <c r="V31" i="168"/>
  <c r="W31" i="168"/>
  <c r="X31" i="168"/>
  <c r="V32" i="168"/>
  <c r="W32" i="168"/>
  <c r="X32" i="168"/>
  <c r="V33" i="168"/>
  <c r="W33" i="168"/>
  <c r="X33" i="168"/>
  <c r="V34" i="168"/>
  <c r="W34" i="168"/>
  <c r="X34" i="168"/>
  <c r="V35" i="168"/>
  <c r="W35" i="168"/>
  <c r="X35" i="168"/>
  <c r="V36" i="168"/>
  <c r="W36" i="168"/>
  <c r="X36" i="168"/>
  <c r="V37" i="168"/>
  <c r="W37" i="168"/>
  <c r="X37" i="168"/>
  <c r="V8" i="167"/>
  <c r="V9" i="167"/>
  <c r="V10" i="167"/>
  <c r="V11" i="167"/>
  <c r="V12" i="167"/>
  <c r="V13" i="167"/>
  <c r="V14" i="167"/>
  <c r="V15" i="167"/>
  <c r="V16" i="167"/>
  <c r="V17" i="167"/>
  <c r="V18" i="167"/>
  <c r="V21" i="167"/>
  <c r="V24" i="167"/>
  <c r="V25" i="167"/>
  <c r="V26" i="167"/>
  <c r="V27" i="167"/>
  <c r="V29" i="167"/>
  <c r="V30" i="167"/>
  <c r="X30" i="167"/>
  <c r="V31" i="167"/>
  <c r="W31" i="167"/>
  <c r="X31" i="167"/>
  <c r="V32" i="167"/>
  <c r="W32" i="167"/>
  <c r="X32" i="167"/>
  <c r="V33" i="167"/>
  <c r="W33" i="167"/>
  <c r="X33" i="167"/>
  <c r="V34" i="167"/>
  <c r="W34" i="167"/>
  <c r="X34" i="167"/>
  <c r="V35" i="167"/>
  <c r="W35" i="167"/>
  <c r="X35" i="167"/>
  <c r="V36" i="167"/>
  <c r="W36" i="167"/>
  <c r="X36" i="167"/>
  <c r="V37" i="167"/>
  <c r="W37" i="167"/>
  <c r="X37" i="167"/>
  <c r="V7" i="167"/>
  <c r="V8" i="166"/>
  <c r="V9" i="166"/>
  <c r="V10" i="166"/>
  <c r="V11" i="166"/>
  <c r="V12" i="166"/>
  <c r="V13" i="166"/>
  <c r="V14" i="166"/>
  <c r="V15" i="166"/>
  <c r="V16" i="166"/>
  <c r="V17" i="166"/>
  <c r="V18" i="166"/>
  <c r="V20" i="166"/>
  <c r="V21" i="166"/>
  <c r="V23" i="166"/>
  <c r="V24" i="166"/>
  <c r="V25" i="166"/>
  <c r="V26" i="166"/>
  <c r="V27" i="166"/>
  <c r="V28" i="166"/>
  <c r="V29" i="166"/>
  <c r="V30" i="166"/>
  <c r="X30" i="166"/>
  <c r="V31" i="166"/>
  <c r="W31" i="166"/>
  <c r="X31" i="166"/>
  <c r="V32" i="166"/>
  <c r="W32" i="166"/>
  <c r="X32" i="166"/>
  <c r="V33" i="166"/>
  <c r="W33" i="166"/>
  <c r="Y33" i="166" s="1"/>
  <c r="X33" i="166"/>
  <c r="V34" i="166"/>
  <c r="W34" i="166"/>
  <c r="X34" i="166"/>
  <c r="V35" i="166"/>
  <c r="W35" i="166"/>
  <c r="X35" i="166"/>
  <c r="V36" i="166"/>
  <c r="W36" i="166"/>
  <c r="X36" i="166"/>
  <c r="V37" i="166"/>
  <c r="W37" i="166"/>
  <c r="Y37" i="166" s="1"/>
  <c r="X37" i="166"/>
  <c r="V7" i="166"/>
  <c r="V8" i="165"/>
  <c r="V9" i="165"/>
  <c r="V10" i="165"/>
  <c r="V11" i="165"/>
  <c r="V12" i="165"/>
  <c r="V13" i="165"/>
  <c r="V14" i="165"/>
  <c r="V15" i="165"/>
  <c r="V16" i="165"/>
  <c r="V17" i="165"/>
  <c r="V18" i="165"/>
  <c r="V19" i="165"/>
  <c r="V20" i="165"/>
  <c r="V21" i="165"/>
  <c r="V22" i="165"/>
  <c r="V23" i="165"/>
  <c r="V24" i="165"/>
  <c r="V25" i="165"/>
  <c r="V26" i="165"/>
  <c r="V27" i="165"/>
  <c r="V28" i="165"/>
  <c r="V29" i="165"/>
  <c r="V30" i="165"/>
  <c r="X30" i="165"/>
  <c r="V31" i="165"/>
  <c r="F31" i="33" s="1"/>
  <c r="W31" i="165"/>
  <c r="G31" i="33" s="1"/>
  <c r="X31" i="165"/>
  <c r="H31" i="33" s="1"/>
  <c r="V32" i="165"/>
  <c r="W32" i="165"/>
  <c r="G32" i="33" s="1"/>
  <c r="X32" i="165"/>
  <c r="H32" i="33" s="1"/>
  <c r="V33" i="165"/>
  <c r="F33" i="33" s="1"/>
  <c r="W33" i="165"/>
  <c r="X33" i="165"/>
  <c r="H33" i="33" s="1"/>
  <c r="V34" i="165"/>
  <c r="F34" i="33" s="1"/>
  <c r="W34" i="165"/>
  <c r="G34" i="33" s="1"/>
  <c r="X34" i="165"/>
  <c r="V35" i="165"/>
  <c r="F35" i="33" s="1"/>
  <c r="W35" i="165"/>
  <c r="G35" i="33" s="1"/>
  <c r="X35" i="165"/>
  <c r="H35" i="33" s="1"/>
  <c r="V36" i="165"/>
  <c r="W36" i="165"/>
  <c r="G36" i="33" s="1"/>
  <c r="X36" i="165"/>
  <c r="H36" i="33" s="1"/>
  <c r="V37" i="165"/>
  <c r="F37" i="33" s="1"/>
  <c r="W37" i="165"/>
  <c r="X37" i="165"/>
  <c r="H37" i="33" s="1"/>
  <c r="V7" i="165"/>
  <c r="G37" i="33" l="1"/>
  <c r="F36" i="33"/>
  <c r="H34" i="33"/>
  <c r="G33" i="33"/>
  <c r="F32" i="33"/>
  <c r="Y34" i="168"/>
  <c r="Y36" i="172"/>
  <c r="Y32" i="172"/>
  <c r="H30" i="33"/>
  <c r="F30" i="33"/>
  <c r="Y31" i="168"/>
  <c r="Y35" i="170"/>
  <c r="Y33" i="172"/>
  <c r="Y35" i="166"/>
  <c r="Y36" i="168"/>
  <c r="Y32" i="168"/>
  <c r="Y36" i="170"/>
  <c r="Y32" i="170"/>
  <c r="Y34" i="171"/>
  <c r="Y34" i="172"/>
  <c r="Y35" i="168"/>
  <c r="Y31" i="170"/>
  <c r="Y37" i="172"/>
  <c r="Y37" i="168"/>
  <c r="Y33" i="168"/>
  <c r="Y37" i="170"/>
  <c r="Y33" i="170"/>
  <c r="Y35" i="172"/>
  <c r="Y31" i="172"/>
  <c r="Y34" i="166"/>
  <c r="Y37" i="171"/>
  <c r="Y33" i="171"/>
  <c r="Y36" i="166"/>
  <c r="Y35" i="171"/>
  <c r="Y31" i="171"/>
  <c r="Y32" i="166"/>
  <c r="Y31" i="166"/>
  <c r="I34" i="33" l="1"/>
  <c r="I36" i="33"/>
  <c r="I35" i="33"/>
  <c r="I33" i="33"/>
  <c r="I37" i="33"/>
  <c r="I32" i="33"/>
  <c r="I31" i="33"/>
  <c r="Q48" i="53"/>
  <c r="A70" i="53"/>
  <c r="A48" i="53"/>
  <c r="A60" i="53" l="1"/>
  <c r="AA62" i="53" l="1"/>
  <c r="A54" i="53"/>
  <c r="A74" i="53"/>
  <c r="A72" i="53"/>
  <c r="A68" i="53"/>
  <c r="A66" i="53"/>
  <c r="A62" i="53"/>
  <c r="A58" i="53"/>
  <c r="A56" i="53"/>
  <c r="A52" i="53"/>
  <c r="A50" i="53"/>
  <c r="A46" i="53"/>
  <c r="AF62" i="53" l="1"/>
  <c r="AG62" i="53"/>
  <c r="R62" i="53"/>
  <c r="L62" i="53" l="1"/>
  <c r="AI62" i="53" s="1"/>
  <c r="K8" i="193" l="1"/>
  <c r="H8" i="193"/>
  <c r="G8" i="193"/>
  <c r="C8" i="193"/>
  <c r="D19" i="200" l="1"/>
  <c r="D20" i="200"/>
  <c r="D21" i="200"/>
  <c r="D22" i="200"/>
  <c r="D23" i="200"/>
  <c r="D24" i="200"/>
  <c r="D25" i="200"/>
  <c r="D26" i="200"/>
  <c r="D27" i="200"/>
  <c r="D28" i="200"/>
  <c r="D29" i="200"/>
  <c r="D30" i="200"/>
  <c r="E30" i="200" s="1"/>
  <c r="D31" i="200"/>
  <c r="E31" i="200" s="1"/>
  <c r="D32" i="200"/>
  <c r="E32" i="200" s="1"/>
  <c r="D33" i="200"/>
  <c r="E33" i="200" s="1"/>
  <c r="D34" i="200"/>
  <c r="E34" i="200" s="1"/>
  <c r="D35" i="200"/>
  <c r="E35" i="200" s="1"/>
  <c r="D36" i="200"/>
  <c r="E36" i="200" s="1"/>
  <c r="D37" i="200"/>
  <c r="E37" i="200" s="1"/>
  <c r="D38" i="200"/>
  <c r="E38" i="200" s="1"/>
  <c r="M30" i="200"/>
  <c r="M31" i="200"/>
  <c r="M32" i="200"/>
  <c r="M33" i="200"/>
  <c r="M34" i="200"/>
  <c r="M35" i="200"/>
  <c r="M36" i="200"/>
  <c r="M37" i="200"/>
  <c r="M38" i="200"/>
  <c r="I30" i="200"/>
  <c r="I31" i="200"/>
  <c r="I32" i="200"/>
  <c r="I33" i="200"/>
  <c r="I34" i="200"/>
  <c r="I35" i="200"/>
  <c r="I36" i="200"/>
  <c r="I37" i="200"/>
  <c r="I38" i="200"/>
  <c r="O36" i="200"/>
  <c r="O37" i="200"/>
  <c r="O38" i="200"/>
  <c r="N36" i="200"/>
  <c r="N37" i="200"/>
  <c r="N38" i="200"/>
  <c r="T38" i="200"/>
  <c r="Q37" i="200" l="1"/>
  <c r="Q36" i="200"/>
  <c r="Q38" i="200"/>
  <c r="T36" i="200"/>
  <c r="T12" i="8"/>
  <c r="S36" i="200"/>
  <c r="S37" i="200"/>
  <c r="S38" i="200"/>
  <c r="T37" i="200"/>
  <c r="R37" i="200"/>
  <c r="T35" i="200"/>
  <c r="R36" i="200"/>
  <c r="R38" i="200"/>
  <c r="T11" i="8"/>
  <c r="T14" i="8"/>
  <c r="T10" i="8"/>
  <c r="T13" i="8"/>
  <c r="AB51" i="8"/>
  <c r="V12" i="8" l="1"/>
  <c r="P11" i="50"/>
  <c r="V10" i="8"/>
  <c r="P9" i="50"/>
  <c r="V13" i="8"/>
  <c r="P12" i="50"/>
  <c r="R12" i="50" s="1"/>
  <c r="V14" i="8"/>
  <c r="P13" i="50"/>
  <c r="R13" i="50" s="1"/>
  <c r="V11" i="8"/>
  <c r="P10" i="50"/>
  <c r="U38" i="200"/>
  <c r="U36" i="200"/>
  <c r="U37" i="200"/>
  <c r="T28" i="200" l="1"/>
  <c r="T29" i="200"/>
  <c r="T30" i="200"/>
  <c r="T31" i="200"/>
  <c r="T32" i="200"/>
  <c r="T33" i="200"/>
  <c r="T34" i="200"/>
  <c r="T27" i="200"/>
  <c r="T21" i="200"/>
  <c r="T22" i="200"/>
  <c r="T23" i="200"/>
  <c r="T24" i="200"/>
  <c r="T25" i="200"/>
  <c r="T26" i="200"/>
  <c r="T20" i="200" l="1"/>
  <c r="T18" i="200"/>
  <c r="T19" i="200"/>
  <c r="T17" i="200"/>
  <c r="U44" i="143" l="1"/>
  <c r="M8" i="193" l="1"/>
  <c r="L8" i="193"/>
  <c r="I8" i="193"/>
  <c r="E8" i="193"/>
  <c r="Z8" i="50" l="1"/>
  <c r="Z9" i="50"/>
  <c r="Z10" i="50"/>
  <c r="Z16" i="50"/>
  <c r="Z17" i="50"/>
  <c r="Z18" i="50"/>
  <c r="Z19" i="50"/>
  <c r="Z20" i="50"/>
  <c r="Z21" i="50"/>
  <c r="Z22" i="50"/>
  <c r="Z23" i="50"/>
  <c r="Z24" i="50"/>
  <c r="Z25" i="50"/>
  <c r="Z26" i="50"/>
  <c r="Z27" i="50"/>
  <c r="Z28" i="50"/>
  <c r="Z29" i="50"/>
  <c r="Z30" i="50"/>
  <c r="Z31" i="50"/>
  <c r="Z32" i="50"/>
  <c r="Z33" i="50"/>
  <c r="Z34" i="50"/>
  <c r="Z35" i="50"/>
  <c r="Z36" i="50"/>
  <c r="Z37" i="50"/>
  <c r="Z38" i="50"/>
  <c r="K42" i="160"/>
  <c r="L42" i="160"/>
  <c r="J42" i="160"/>
  <c r="G42" i="160"/>
  <c r="H42" i="160"/>
  <c r="F42" i="160"/>
  <c r="C42" i="160"/>
  <c r="D42" i="160"/>
  <c r="B42" i="160"/>
  <c r="H41" i="151"/>
  <c r="C40" i="151"/>
  <c r="D40" i="151"/>
  <c r="E40" i="151"/>
  <c r="C41" i="151"/>
  <c r="D41" i="151"/>
  <c r="E41" i="151"/>
  <c r="B41" i="151"/>
  <c r="B40" i="151"/>
  <c r="H40" i="151" s="1"/>
  <c r="L42" i="156"/>
  <c r="K42" i="156"/>
  <c r="J42" i="156"/>
  <c r="G42" i="156"/>
  <c r="H42" i="156"/>
  <c r="F42" i="156"/>
  <c r="D41" i="96"/>
  <c r="E41" i="96"/>
  <c r="F41" i="96"/>
  <c r="G41" i="96"/>
  <c r="H41" i="96"/>
  <c r="C41" i="96"/>
  <c r="M42" i="160" l="1"/>
  <c r="M47" i="160" s="1"/>
  <c r="E42" i="160"/>
  <c r="E47" i="160" s="1"/>
  <c r="I42" i="156"/>
  <c r="I47" i="156" s="1"/>
  <c r="I42" i="160"/>
  <c r="I47" i="160" s="1"/>
  <c r="M42" i="156"/>
  <c r="M47" i="156" s="1"/>
  <c r="AB31" i="50" l="1"/>
  <c r="AC31" i="50"/>
  <c r="AB33" i="50"/>
  <c r="AC33" i="50"/>
  <c r="AB34" i="50"/>
  <c r="AC34" i="50"/>
  <c r="AB35" i="50"/>
  <c r="AC35" i="50"/>
  <c r="AB36" i="50"/>
  <c r="AC36" i="50"/>
  <c r="AB37" i="50"/>
  <c r="AC37" i="50"/>
  <c r="X8" i="50"/>
  <c r="Y8" i="50"/>
  <c r="X9" i="50"/>
  <c r="Y9" i="50"/>
  <c r="X10" i="50"/>
  <c r="Y10" i="50"/>
  <c r="X11" i="50"/>
  <c r="Y11" i="50"/>
  <c r="X12" i="50"/>
  <c r="Y12" i="50"/>
  <c r="X13" i="50"/>
  <c r="Y13" i="50"/>
  <c r="X14" i="50"/>
  <c r="Y14" i="50"/>
  <c r="X15" i="50"/>
  <c r="Y15" i="50"/>
  <c r="X16" i="50"/>
  <c r="Y16" i="50"/>
  <c r="X18" i="50"/>
  <c r="Y18" i="50"/>
  <c r="X19" i="50"/>
  <c r="Y19" i="50"/>
  <c r="X20" i="50"/>
  <c r="Y20" i="50"/>
  <c r="X21" i="50"/>
  <c r="Y21" i="50"/>
  <c r="X22" i="50"/>
  <c r="Y22" i="50"/>
  <c r="X24" i="50"/>
  <c r="Y24" i="50"/>
  <c r="X26" i="50"/>
  <c r="Y26" i="50"/>
  <c r="X31" i="50"/>
  <c r="Y31" i="50"/>
  <c r="X32" i="50"/>
  <c r="Y32" i="50"/>
  <c r="V23" i="50"/>
  <c r="W23" i="50"/>
  <c r="V24" i="50"/>
  <c r="W24" i="50"/>
  <c r="V28" i="50"/>
  <c r="W28" i="50"/>
  <c r="V29" i="50"/>
  <c r="W29" i="50"/>
  <c r="V30" i="50"/>
  <c r="W30" i="50"/>
  <c r="V31" i="50"/>
  <c r="W31" i="50"/>
  <c r="V32" i="50"/>
  <c r="W32" i="50"/>
  <c r="V33" i="50"/>
  <c r="W33" i="50"/>
  <c r="V34" i="50"/>
  <c r="W34" i="50"/>
  <c r="V35" i="50"/>
  <c r="W35" i="50"/>
  <c r="V36" i="50"/>
  <c r="W36" i="50"/>
  <c r="V37" i="50"/>
  <c r="W37" i="50"/>
  <c r="S36" i="50"/>
  <c r="T36" i="50"/>
  <c r="U36" i="50"/>
  <c r="S37" i="50"/>
  <c r="T37" i="50"/>
  <c r="U37" i="50"/>
  <c r="J10" i="50"/>
  <c r="J11" i="50"/>
  <c r="J12" i="50"/>
  <c r="J13" i="50"/>
  <c r="J14" i="50"/>
  <c r="I15" i="50"/>
  <c r="J15" i="50"/>
  <c r="I16" i="50"/>
  <c r="J16" i="50"/>
  <c r="K16" i="50"/>
  <c r="F17" i="50"/>
  <c r="G17" i="50"/>
  <c r="I17" i="50"/>
  <c r="J17" i="50"/>
  <c r="K17" i="50"/>
  <c r="I18" i="50"/>
  <c r="J18" i="50"/>
  <c r="K18" i="50"/>
  <c r="B19" i="50"/>
  <c r="G19" i="50"/>
  <c r="I19" i="50"/>
  <c r="J19" i="50"/>
  <c r="K19" i="50"/>
  <c r="B20" i="50"/>
  <c r="C20" i="50"/>
  <c r="G20" i="50"/>
  <c r="I20" i="50"/>
  <c r="J20" i="50"/>
  <c r="K20" i="50"/>
  <c r="B21" i="50"/>
  <c r="C21" i="50"/>
  <c r="G21" i="50"/>
  <c r="I21" i="50"/>
  <c r="J21" i="50"/>
  <c r="K21" i="50"/>
  <c r="B22" i="50"/>
  <c r="F22" i="50"/>
  <c r="G22" i="50"/>
  <c r="I22" i="50"/>
  <c r="J22" i="50"/>
  <c r="K22" i="50"/>
  <c r="B23" i="50"/>
  <c r="C23" i="50"/>
  <c r="F23" i="50"/>
  <c r="G23" i="50"/>
  <c r="I23" i="50"/>
  <c r="J23" i="50"/>
  <c r="K23" i="50"/>
  <c r="B24" i="50"/>
  <c r="C24" i="50"/>
  <c r="F24" i="50"/>
  <c r="G24" i="50"/>
  <c r="I24" i="50"/>
  <c r="J24" i="50"/>
  <c r="K24" i="50"/>
  <c r="B25" i="50"/>
  <c r="C25" i="50"/>
  <c r="F25" i="50"/>
  <c r="G25" i="50"/>
  <c r="I25" i="50"/>
  <c r="J25" i="50"/>
  <c r="K25" i="50"/>
  <c r="B26" i="50"/>
  <c r="C26" i="50"/>
  <c r="F26" i="50"/>
  <c r="G26" i="50"/>
  <c r="I26" i="50"/>
  <c r="J26" i="50"/>
  <c r="K26" i="50"/>
  <c r="B27" i="50"/>
  <c r="C27" i="50"/>
  <c r="F27" i="50"/>
  <c r="G27" i="50"/>
  <c r="I27" i="50"/>
  <c r="J27" i="50"/>
  <c r="K27" i="50"/>
  <c r="B28" i="50"/>
  <c r="C28" i="50"/>
  <c r="F28" i="50"/>
  <c r="G28" i="50"/>
  <c r="I28" i="50"/>
  <c r="J28" i="50"/>
  <c r="K28" i="50"/>
  <c r="B29" i="50"/>
  <c r="C29" i="50"/>
  <c r="D29" i="50"/>
  <c r="F29" i="50"/>
  <c r="G29" i="50"/>
  <c r="I29" i="50"/>
  <c r="J29" i="50"/>
  <c r="K29" i="50"/>
  <c r="B30" i="50"/>
  <c r="C30" i="50"/>
  <c r="D30" i="50"/>
  <c r="E30" i="50"/>
  <c r="F30" i="50"/>
  <c r="G30" i="50"/>
  <c r="I30" i="50"/>
  <c r="J30" i="50"/>
  <c r="K30" i="50"/>
  <c r="B31" i="50"/>
  <c r="C31" i="50"/>
  <c r="D31" i="50"/>
  <c r="E31" i="50"/>
  <c r="F31" i="50"/>
  <c r="G31" i="50"/>
  <c r="I31" i="50"/>
  <c r="J31" i="50"/>
  <c r="K31" i="50"/>
  <c r="B32" i="50"/>
  <c r="C32" i="50"/>
  <c r="D32" i="50"/>
  <c r="E32" i="50"/>
  <c r="F32" i="50"/>
  <c r="G32" i="50"/>
  <c r="I32" i="50"/>
  <c r="J32" i="50"/>
  <c r="K32" i="50"/>
  <c r="B33" i="50"/>
  <c r="C33" i="50"/>
  <c r="D33" i="50"/>
  <c r="E33" i="50"/>
  <c r="F33" i="50"/>
  <c r="G33" i="50"/>
  <c r="I33" i="50"/>
  <c r="J33" i="50"/>
  <c r="K33" i="50"/>
  <c r="B34" i="50"/>
  <c r="C34" i="50"/>
  <c r="D34" i="50"/>
  <c r="E34" i="50"/>
  <c r="F34" i="50"/>
  <c r="G34" i="50"/>
  <c r="I34" i="50"/>
  <c r="J34" i="50"/>
  <c r="K34" i="50"/>
  <c r="B35" i="50"/>
  <c r="C35" i="50"/>
  <c r="D35" i="50"/>
  <c r="E35" i="50"/>
  <c r="F35" i="50"/>
  <c r="G35" i="50"/>
  <c r="I35" i="50"/>
  <c r="J35" i="50"/>
  <c r="K35" i="50"/>
  <c r="B36" i="50"/>
  <c r="C36" i="50"/>
  <c r="D36" i="50"/>
  <c r="E36" i="50"/>
  <c r="F36" i="50"/>
  <c r="G36" i="50"/>
  <c r="I36" i="50"/>
  <c r="J36" i="50"/>
  <c r="K36" i="50"/>
  <c r="B37" i="50"/>
  <c r="C37" i="50"/>
  <c r="D37" i="50"/>
  <c r="E37" i="50"/>
  <c r="F37" i="50"/>
  <c r="G37" i="50"/>
  <c r="I37" i="50"/>
  <c r="J37" i="50"/>
  <c r="K37" i="50"/>
  <c r="AF36" i="50" l="1"/>
  <c r="AF31" i="50"/>
  <c r="AF34" i="50"/>
  <c r="AF37" i="50"/>
  <c r="AF35" i="50"/>
  <c r="AF33" i="50"/>
  <c r="L37" i="50"/>
  <c r="L35" i="50"/>
  <c r="L33" i="50"/>
  <c r="L31" i="50"/>
  <c r="L36" i="50"/>
  <c r="L34" i="50"/>
  <c r="L32" i="50"/>
  <c r="L30" i="50"/>
  <c r="AH30" i="53"/>
  <c r="V39" i="173" l="1"/>
  <c r="V39" i="172"/>
  <c r="V39" i="171"/>
  <c r="V39" i="170"/>
  <c r="V39" i="169"/>
  <c r="V39" i="165"/>
  <c r="Y32" i="173" l="1"/>
  <c r="Y36" i="173"/>
  <c r="Y34" i="173"/>
  <c r="Y31" i="173"/>
  <c r="Y33" i="173"/>
  <c r="Y35" i="173"/>
  <c r="Y37" i="173"/>
  <c r="P30" i="173"/>
  <c r="O31" i="173"/>
  <c r="S31" i="173" s="1"/>
  <c r="AA31" i="173" s="1"/>
  <c r="P31" i="173"/>
  <c r="T31" i="173" s="1"/>
  <c r="AB31" i="173" s="1"/>
  <c r="O32" i="173"/>
  <c r="P32" i="173"/>
  <c r="O33" i="173"/>
  <c r="S33" i="173" s="1"/>
  <c r="AA33" i="173" s="1"/>
  <c r="P33" i="173"/>
  <c r="T33" i="173" s="1"/>
  <c r="AB33" i="173" s="1"/>
  <c r="O34" i="173"/>
  <c r="P34" i="173"/>
  <c r="O35" i="173"/>
  <c r="S35" i="173" s="1"/>
  <c r="AA35" i="173" s="1"/>
  <c r="P35" i="173"/>
  <c r="T35" i="173" s="1"/>
  <c r="AB35" i="173" s="1"/>
  <c r="O36" i="173"/>
  <c r="P36" i="173"/>
  <c r="O37" i="173"/>
  <c r="P37" i="173"/>
  <c r="T37" i="173" s="1"/>
  <c r="AB37" i="173" s="1"/>
  <c r="N31" i="173"/>
  <c r="N32" i="173"/>
  <c r="N33" i="173"/>
  <c r="N34" i="173"/>
  <c r="N35" i="173"/>
  <c r="N36" i="173"/>
  <c r="N37" i="173"/>
  <c r="Q37" i="173" s="1"/>
  <c r="P30" i="172"/>
  <c r="O31" i="172"/>
  <c r="P31" i="172"/>
  <c r="T31" i="172" s="1"/>
  <c r="O32" i="172"/>
  <c r="P32" i="172"/>
  <c r="O33" i="172"/>
  <c r="P33" i="172"/>
  <c r="O34" i="172"/>
  <c r="P34" i="172"/>
  <c r="O35" i="172"/>
  <c r="P35" i="172"/>
  <c r="T35" i="172" s="1"/>
  <c r="O36" i="172"/>
  <c r="P36" i="172"/>
  <c r="O37" i="172"/>
  <c r="P37" i="172"/>
  <c r="T37" i="172" s="1"/>
  <c r="N31" i="172"/>
  <c r="N32" i="172"/>
  <c r="N33" i="172"/>
  <c r="N34" i="172"/>
  <c r="N35" i="172"/>
  <c r="N36" i="172"/>
  <c r="N37" i="172"/>
  <c r="P30" i="171"/>
  <c r="O31" i="171"/>
  <c r="S31" i="171" s="1"/>
  <c r="AA31" i="171" s="1"/>
  <c r="P31" i="171"/>
  <c r="T31" i="171" s="1"/>
  <c r="AB31" i="171" s="1"/>
  <c r="O32" i="171"/>
  <c r="P32" i="171"/>
  <c r="O33" i="171"/>
  <c r="S33" i="171" s="1"/>
  <c r="AA33" i="171" s="1"/>
  <c r="P33" i="171"/>
  <c r="T33" i="171" s="1"/>
  <c r="AB33" i="171" s="1"/>
  <c r="O34" i="171"/>
  <c r="P34" i="171"/>
  <c r="T34" i="171" s="1"/>
  <c r="AB34" i="171" s="1"/>
  <c r="O35" i="171"/>
  <c r="S35" i="171" s="1"/>
  <c r="AA35" i="171" s="1"/>
  <c r="P35" i="171"/>
  <c r="T35" i="171" s="1"/>
  <c r="AB35" i="171" s="1"/>
  <c r="O36" i="171"/>
  <c r="P36" i="171"/>
  <c r="T36" i="171" s="1"/>
  <c r="AB36" i="171" s="1"/>
  <c r="O37" i="171"/>
  <c r="S37" i="171" s="1"/>
  <c r="AA37" i="171" s="1"/>
  <c r="P37" i="171"/>
  <c r="T37" i="171" s="1"/>
  <c r="AB37" i="171" s="1"/>
  <c r="N31" i="171"/>
  <c r="N32" i="171"/>
  <c r="N33" i="171"/>
  <c r="N34" i="171"/>
  <c r="N35" i="171"/>
  <c r="N36" i="171"/>
  <c r="N37" i="171"/>
  <c r="P30" i="170"/>
  <c r="O31" i="170"/>
  <c r="P31" i="170"/>
  <c r="T31" i="170" s="1"/>
  <c r="AB31" i="170" s="1"/>
  <c r="O32" i="170"/>
  <c r="S32" i="170" s="1"/>
  <c r="AA32" i="170" s="1"/>
  <c r="P32" i="170"/>
  <c r="O33" i="170"/>
  <c r="P33" i="170"/>
  <c r="T33" i="170" s="1"/>
  <c r="AB33" i="170" s="1"/>
  <c r="O34" i="170"/>
  <c r="S34" i="170" s="1"/>
  <c r="AA34" i="170" s="1"/>
  <c r="P34" i="170"/>
  <c r="T34" i="170" s="1"/>
  <c r="AB34" i="170" s="1"/>
  <c r="O35" i="170"/>
  <c r="P35" i="170"/>
  <c r="T35" i="170" s="1"/>
  <c r="AB35" i="170" s="1"/>
  <c r="O36" i="170"/>
  <c r="S36" i="170" s="1"/>
  <c r="AA36" i="170" s="1"/>
  <c r="P36" i="170"/>
  <c r="T36" i="170" s="1"/>
  <c r="AB36" i="170" s="1"/>
  <c r="O37" i="170"/>
  <c r="P37" i="170"/>
  <c r="T37" i="170" s="1"/>
  <c r="AB37" i="170" s="1"/>
  <c r="N31" i="170"/>
  <c r="N32" i="170"/>
  <c r="N33" i="170"/>
  <c r="N34" i="170"/>
  <c r="N35" i="170"/>
  <c r="R35" i="170" s="1"/>
  <c r="N36" i="170"/>
  <c r="N37" i="170"/>
  <c r="R37" i="170" s="1"/>
  <c r="Z37" i="170" s="1"/>
  <c r="Y34" i="169"/>
  <c r="Y32" i="169"/>
  <c r="Y36" i="169"/>
  <c r="P30" i="169"/>
  <c r="T30" i="169" s="1"/>
  <c r="AB30" i="169" s="1"/>
  <c r="O31" i="169"/>
  <c r="P31" i="169"/>
  <c r="O32" i="169"/>
  <c r="P32" i="169"/>
  <c r="T32" i="169" s="1"/>
  <c r="AB32" i="169" s="1"/>
  <c r="O33" i="169"/>
  <c r="P33" i="169"/>
  <c r="O34" i="169"/>
  <c r="S34" i="169" s="1"/>
  <c r="AA34" i="169" s="1"/>
  <c r="P34" i="169"/>
  <c r="T34" i="169" s="1"/>
  <c r="AB34" i="169" s="1"/>
  <c r="O35" i="169"/>
  <c r="P35" i="169"/>
  <c r="T35" i="169" s="1"/>
  <c r="AB35" i="169" s="1"/>
  <c r="O36" i="169"/>
  <c r="P36" i="169"/>
  <c r="T36" i="169" s="1"/>
  <c r="AB36" i="169" s="1"/>
  <c r="O37" i="169"/>
  <c r="S37" i="169" s="1"/>
  <c r="AA37" i="169" s="1"/>
  <c r="P37" i="169"/>
  <c r="T37" i="169" s="1"/>
  <c r="AB37" i="169" s="1"/>
  <c r="N31" i="169"/>
  <c r="R31" i="169" s="1"/>
  <c r="N32" i="169"/>
  <c r="N33" i="169"/>
  <c r="N34" i="169"/>
  <c r="N35" i="169"/>
  <c r="R35" i="169" s="1"/>
  <c r="N36" i="169"/>
  <c r="N37" i="169"/>
  <c r="S36" i="169"/>
  <c r="AA36" i="169" s="1"/>
  <c r="P30" i="168"/>
  <c r="O31" i="168"/>
  <c r="S31" i="168" s="1"/>
  <c r="AA31" i="168" s="1"/>
  <c r="P31" i="168"/>
  <c r="O32" i="168"/>
  <c r="S32" i="168" s="1"/>
  <c r="AA32" i="168" s="1"/>
  <c r="P32" i="168"/>
  <c r="O33" i="168"/>
  <c r="S33" i="168" s="1"/>
  <c r="AA33" i="168" s="1"/>
  <c r="P33" i="168"/>
  <c r="O34" i="168"/>
  <c r="S34" i="168" s="1"/>
  <c r="AA34" i="168" s="1"/>
  <c r="P34" i="168"/>
  <c r="T34" i="168" s="1"/>
  <c r="AB34" i="168" s="1"/>
  <c r="O35" i="168"/>
  <c r="S35" i="168" s="1"/>
  <c r="AA35" i="168" s="1"/>
  <c r="P35" i="168"/>
  <c r="T35" i="168" s="1"/>
  <c r="AB35" i="168" s="1"/>
  <c r="O36" i="168"/>
  <c r="S36" i="168" s="1"/>
  <c r="AA36" i="168" s="1"/>
  <c r="P36" i="168"/>
  <c r="T36" i="168" s="1"/>
  <c r="AB36" i="168" s="1"/>
  <c r="O37" i="168"/>
  <c r="S37" i="168" s="1"/>
  <c r="AA37" i="168" s="1"/>
  <c r="P37" i="168"/>
  <c r="T37" i="168" s="1"/>
  <c r="AB37" i="168" s="1"/>
  <c r="N31" i="168"/>
  <c r="N32" i="168"/>
  <c r="N33" i="168"/>
  <c r="N34" i="168"/>
  <c r="N35" i="168"/>
  <c r="N36" i="168"/>
  <c r="R36" i="168" s="1"/>
  <c r="Z36" i="168" s="1"/>
  <c r="N37" i="168"/>
  <c r="Y35" i="167"/>
  <c r="Y33" i="167"/>
  <c r="P30" i="167"/>
  <c r="O31" i="167"/>
  <c r="P31" i="167"/>
  <c r="T31" i="167" s="1"/>
  <c r="O32" i="167"/>
  <c r="P32" i="167"/>
  <c r="T32" i="167" s="1"/>
  <c r="AB32" i="167" s="1"/>
  <c r="O33" i="167"/>
  <c r="P33" i="167"/>
  <c r="O34" i="167"/>
  <c r="S34" i="167" s="1"/>
  <c r="AA34" i="167" s="1"/>
  <c r="P34" i="167"/>
  <c r="O35" i="167"/>
  <c r="P35" i="167"/>
  <c r="T35" i="167" s="1"/>
  <c r="AB35" i="167" s="1"/>
  <c r="O36" i="167"/>
  <c r="P36" i="167"/>
  <c r="T36" i="167" s="1"/>
  <c r="O37" i="167"/>
  <c r="P37" i="167"/>
  <c r="T37" i="167" s="1"/>
  <c r="AB37" i="167" s="1"/>
  <c r="N31" i="167"/>
  <c r="N32" i="167"/>
  <c r="N33" i="167"/>
  <c r="N34" i="167"/>
  <c r="N35" i="167"/>
  <c r="N36" i="167"/>
  <c r="N37" i="167"/>
  <c r="T34" i="167"/>
  <c r="AB34" i="167" s="1"/>
  <c r="R36" i="167"/>
  <c r="Z36" i="167" s="1"/>
  <c r="P30" i="166"/>
  <c r="O31" i="166"/>
  <c r="P31" i="166"/>
  <c r="O32" i="166"/>
  <c r="P32" i="166"/>
  <c r="O33" i="166"/>
  <c r="S33" i="166" s="1"/>
  <c r="AA33" i="166" s="1"/>
  <c r="P33" i="166"/>
  <c r="O34" i="166"/>
  <c r="P34" i="166"/>
  <c r="O35" i="166"/>
  <c r="P35" i="166"/>
  <c r="T35" i="166" s="1"/>
  <c r="AB35" i="166" s="1"/>
  <c r="O36" i="166"/>
  <c r="P36" i="166"/>
  <c r="O37" i="166"/>
  <c r="S37" i="166" s="1"/>
  <c r="AA37" i="166" s="1"/>
  <c r="P37" i="166"/>
  <c r="T37" i="166" s="1"/>
  <c r="AB37" i="166" s="1"/>
  <c r="N31" i="166"/>
  <c r="R31" i="166" s="1"/>
  <c r="N32" i="166"/>
  <c r="R32" i="166" s="1"/>
  <c r="N33" i="166"/>
  <c r="R33" i="166" s="1"/>
  <c r="N34" i="166"/>
  <c r="N35" i="166"/>
  <c r="R35" i="166" s="1"/>
  <c r="N36" i="166"/>
  <c r="R36" i="166" s="1"/>
  <c r="N37" i="166"/>
  <c r="R37" i="166" s="1"/>
  <c r="S34" i="166"/>
  <c r="AA34" i="166" s="1"/>
  <c r="T34" i="166"/>
  <c r="AB34" i="166" s="1"/>
  <c r="S35" i="166"/>
  <c r="AA35" i="166" s="1"/>
  <c r="S36" i="166"/>
  <c r="AA36" i="166" s="1"/>
  <c r="T36" i="166"/>
  <c r="AB36" i="166" s="1"/>
  <c r="Y32" i="165"/>
  <c r="Y34" i="165"/>
  <c r="Y36" i="165"/>
  <c r="P30" i="165"/>
  <c r="O31" i="165"/>
  <c r="S31" i="165" s="1"/>
  <c r="P31" i="165"/>
  <c r="O32" i="165"/>
  <c r="P32" i="165"/>
  <c r="O33" i="165"/>
  <c r="S33" i="165" s="1"/>
  <c r="P33" i="165"/>
  <c r="O34" i="165"/>
  <c r="P34" i="165"/>
  <c r="T34" i="165" s="1"/>
  <c r="O35" i="165"/>
  <c r="S35" i="165" s="1"/>
  <c r="P35" i="165"/>
  <c r="T35" i="165" s="1"/>
  <c r="O36" i="165"/>
  <c r="P36" i="165"/>
  <c r="T36" i="165" s="1"/>
  <c r="O37" i="165"/>
  <c r="S37" i="165" s="1"/>
  <c r="P37" i="165"/>
  <c r="T37" i="165" s="1"/>
  <c r="D37" i="33" s="1"/>
  <c r="N31" i="165"/>
  <c r="N32" i="165"/>
  <c r="N33" i="165"/>
  <c r="N34" i="165"/>
  <c r="N35" i="165"/>
  <c r="N36" i="165"/>
  <c r="R36" i="165" s="1"/>
  <c r="N37" i="165"/>
  <c r="R37" i="165" s="1"/>
  <c r="R34" i="165"/>
  <c r="F19" i="50"/>
  <c r="D21" i="50"/>
  <c r="D24" i="50"/>
  <c r="D25" i="50"/>
  <c r="D26" i="50"/>
  <c r="D27" i="50"/>
  <c r="C18" i="50"/>
  <c r="G18" i="50"/>
  <c r="G16" i="50"/>
  <c r="G14" i="50"/>
  <c r="D35" i="33" l="1"/>
  <c r="Q35" i="167"/>
  <c r="Q34" i="171"/>
  <c r="Q34" i="170"/>
  <c r="Q37" i="171"/>
  <c r="Q36" i="171"/>
  <c r="Q37" i="169"/>
  <c r="Q36" i="170"/>
  <c r="Q35" i="173"/>
  <c r="Q36" i="173"/>
  <c r="Q35" i="165"/>
  <c r="Q34" i="168"/>
  <c r="R37" i="171"/>
  <c r="U37" i="171" s="1"/>
  <c r="Q35" i="169"/>
  <c r="Q36" i="165"/>
  <c r="Q36" i="166"/>
  <c r="Q34" i="167"/>
  <c r="Q37" i="168"/>
  <c r="Q33" i="168"/>
  <c r="Q35" i="168"/>
  <c r="R37" i="169"/>
  <c r="Z37" i="169" s="1"/>
  <c r="AC37" i="169" s="1"/>
  <c r="Q37" i="172"/>
  <c r="R37" i="167"/>
  <c r="Q37" i="167"/>
  <c r="R35" i="165"/>
  <c r="S36" i="165"/>
  <c r="Q34" i="166"/>
  <c r="Q36" i="167"/>
  <c r="Q32" i="167"/>
  <c r="Q34" i="169"/>
  <c r="Q36" i="169"/>
  <c r="Q35" i="171"/>
  <c r="Q35" i="172"/>
  <c r="Q36" i="172"/>
  <c r="AB35" i="165"/>
  <c r="L35" i="33"/>
  <c r="AB36" i="165"/>
  <c r="AB34" i="165"/>
  <c r="AB37" i="165"/>
  <c r="L37" i="33"/>
  <c r="AA37" i="165"/>
  <c r="AA35" i="165"/>
  <c r="Z36" i="165"/>
  <c r="T33" i="169"/>
  <c r="AB33" i="169" s="1"/>
  <c r="T31" i="169"/>
  <c r="AB31" i="169" s="1"/>
  <c r="Q33" i="171"/>
  <c r="Q33" i="172"/>
  <c r="T33" i="165"/>
  <c r="T31" i="165"/>
  <c r="T32" i="166"/>
  <c r="AB32" i="166" s="1"/>
  <c r="T30" i="166"/>
  <c r="AB30" i="166" s="1"/>
  <c r="Q32" i="166"/>
  <c r="R33" i="170"/>
  <c r="Z33" i="170" s="1"/>
  <c r="Q33" i="173"/>
  <c r="T33" i="166"/>
  <c r="AB33" i="166" s="1"/>
  <c r="T31" i="166"/>
  <c r="AB31" i="166" s="1"/>
  <c r="R33" i="168"/>
  <c r="Z33" i="168" s="1"/>
  <c r="R31" i="170"/>
  <c r="T32" i="171"/>
  <c r="AB32" i="171" s="1"/>
  <c r="T30" i="171"/>
  <c r="AB30" i="171" s="1"/>
  <c r="Q31" i="173"/>
  <c r="Q32" i="173"/>
  <c r="R32" i="165"/>
  <c r="T32" i="165"/>
  <c r="T30" i="165"/>
  <c r="Q31" i="168"/>
  <c r="T32" i="170"/>
  <c r="AB32" i="170" s="1"/>
  <c r="T30" i="170"/>
  <c r="AB30" i="170" s="1"/>
  <c r="Q31" i="171"/>
  <c r="T30" i="167"/>
  <c r="AB30" i="167" s="1"/>
  <c r="Q33" i="167"/>
  <c r="T33" i="168"/>
  <c r="AB33" i="168" s="1"/>
  <c r="T31" i="168"/>
  <c r="AB31" i="168" s="1"/>
  <c r="Q32" i="170"/>
  <c r="Q31" i="172"/>
  <c r="T33" i="167"/>
  <c r="AB33" i="167" s="1"/>
  <c r="Q31" i="167"/>
  <c r="T32" i="168"/>
  <c r="AB32" i="168" s="1"/>
  <c r="T30" i="168"/>
  <c r="Q32" i="171"/>
  <c r="T33" i="172"/>
  <c r="AB33" i="172" s="1"/>
  <c r="AA33" i="165"/>
  <c r="AA31" i="165"/>
  <c r="S32" i="165"/>
  <c r="Q32" i="165"/>
  <c r="S32" i="169"/>
  <c r="AA32" i="169" s="1"/>
  <c r="Q32" i="169"/>
  <c r="Q31" i="165"/>
  <c r="S32" i="166"/>
  <c r="AA32" i="166" s="1"/>
  <c r="Q31" i="169"/>
  <c r="S31" i="166"/>
  <c r="AA31" i="166" s="1"/>
  <c r="S33" i="169"/>
  <c r="AA33" i="169" s="1"/>
  <c r="Q33" i="169"/>
  <c r="R34" i="171"/>
  <c r="Z34" i="171" s="1"/>
  <c r="R33" i="165"/>
  <c r="R33" i="169"/>
  <c r="Z33" i="169" s="1"/>
  <c r="Q34" i="173"/>
  <c r="R33" i="171"/>
  <c r="Z33" i="171" s="1"/>
  <c r="AC33" i="171" s="1"/>
  <c r="Q34" i="165"/>
  <c r="R33" i="167"/>
  <c r="Z33" i="167" s="1"/>
  <c r="R34" i="168"/>
  <c r="Z34" i="168" s="1"/>
  <c r="AC34" i="168" s="1"/>
  <c r="R31" i="165"/>
  <c r="R31" i="171"/>
  <c r="U31" i="171" s="1"/>
  <c r="R32" i="168"/>
  <c r="V18" i="168"/>
  <c r="F18" i="33" s="1"/>
  <c r="V10" i="168"/>
  <c r="F10" i="33" s="1"/>
  <c r="V25" i="168"/>
  <c r="F25" i="33" s="1"/>
  <c r="V17" i="168"/>
  <c r="F17" i="33" s="1"/>
  <c r="V28" i="168"/>
  <c r="V24" i="168"/>
  <c r="F24" i="33" s="1"/>
  <c r="V20" i="168"/>
  <c r="V16" i="168"/>
  <c r="F16" i="33" s="1"/>
  <c r="V12" i="168"/>
  <c r="F12" i="33" s="1"/>
  <c r="V8" i="168"/>
  <c r="F8" i="33" s="1"/>
  <c r="V26" i="168"/>
  <c r="F26" i="33" s="1"/>
  <c r="V22" i="168"/>
  <c r="V14" i="168"/>
  <c r="F14" i="33" s="1"/>
  <c r="V29" i="168"/>
  <c r="F29" i="33" s="1"/>
  <c r="V21" i="168"/>
  <c r="F21" i="33" s="1"/>
  <c r="V13" i="168"/>
  <c r="F13" i="33" s="1"/>
  <c r="V9" i="168"/>
  <c r="F9" i="33" s="1"/>
  <c r="V27" i="168"/>
  <c r="F27" i="33" s="1"/>
  <c r="V23" i="168"/>
  <c r="V19" i="168"/>
  <c r="V15" i="168"/>
  <c r="F15" i="33" s="1"/>
  <c r="V11" i="168"/>
  <c r="F11" i="33" s="1"/>
  <c r="V7" i="168"/>
  <c r="F7" i="33" s="1"/>
  <c r="Z37" i="167"/>
  <c r="Z34" i="165"/>
  <c r="U36" i="166"/>
  <c r="Z36" i="166"/>
  <c r="AC36" i="166" s="1"/>
  <c r="Z32" i="166"/>
  <c r="Q37" i="165"/>
  <c r="Q33" i="165"/>
  <c r="S34" i="165"/>
  <c r="R34" i="166"/>
  <c r="R34" i="167"/>
  <c r="R35" i="167"/>
  <c r="Y34" i="167"/>
  <c r="R35" i="168"/>
  <c r="R31" i="168"/>
  <c r="R37" i="168"/>
  <c r="BQ12" i="64"/>
  <c r="Y35" i="165"/>
  <c r="Y31" i="165"/>
  <c r="Z35" i="166"/>
  <c r="AC35" i="166" s="1"/>
  <c r="U35" i="166"/>
  <c r="Z31" i="166"/>
  <c r="Q35" i="166"/>
  <c r="Q31" i="166"/>
  <c r="S37" i="167"/>
  <c r="AA37" i="167" s="1"/>
  <c r="S35" i="167"/>
  <c r="AA35" i="167" s="1"/>
  <c r="S33" i="167"/>
  <c r="AA33" i="167" s="1"/>
  <c r="S31" i="167"/>
  <c r="AA31" i="167" s="1"/>
  <c r="R32" i="167"/>
  <c r="Y37" i="167"/>
  <c r="Q36" i="168"/>
  <c r="Q32" i="168"/>
  <c r="R34" i="169"/>
  <c r="Z37" i="165"/>
  <c r="U37" i="165"/>
  <c r="BC12" i="64"/>
  <c r="Y37" i="165"/>
  <c r="Y33" i="165"/>
  <c r="Z37" i="166"/>
  <c r="AC37" i="166" s="1"/>
  <c r="U37" i="166"/>
  <c r="Z33" i="166"/>
  <c r="Q37" i="166"/>
  <c r="Q33" i="166"/>
  <c r="S36" i="167"/>
  <c r="AA36" i="167" s="1"/>
  <c r="S32" i="167"/>
  <c r="AA32" i="167" s="1"/>
  <c r="AB36" i="167"/>
  <c r="AB31" i="167"/>
  <c r="Y31" i="167"/>
  <c r="R32" i="169"/>
  <c r="BC11" i="64"/>
  <c r="BE11" i="64" s="1"/>
  <c r="I10" i="50" s="1"/>
  <c r="BQ11" i="64"/>
  <c r="R31" i="167"/>
  <c r="Y36" i="167"/>
  <c r="Y32" i="167"/>
  <c r="U36" i="168"/>
  <c r="S35" i="169"/>
  <c r="AA35" i="169" s="1"/>
  <c r="S31" i="169"/>
  <c r="AA31" i="169" s="1"/>
  <c r="S37" i="170"/>
  <c r="AA37" i="170" s="1"/>
  <c r="AC37" i="170" s="1"/>
  <c r="S35" i="170"/>
  <c r="AA35" i="170" s="1"/>
  <c r="S33" i="170"/>
  <c r="S31" i="170"/>
  <c r="AA31" i="170" s="1"/>
  <c r="R36" i="170"/>
  <c r="AO11" i="64"/>
  <c r="AC36" i="168"/>
  <c r="R36" i="169"/>
  <c r="R34" i="170"/>
  <c r="R32" i="170"/>
  <c r="Y35" i="169"/>
  <c r="Y31" i="169"/>
  <c r="Z35" i="170"/>
  <c r="Q37" i="170"/>
  <c r="Q33" i="170"/>
  <c r="R35" i="171"/>
  <c r="S33" i="172"/>
  <c r="AA33" i="172" s="1"/>
  <c r="Z35" i="169"/>
  <c r="Z31" i="169"/>
  <c r="Y37" i="169"/>
  <c r="Y33" i="169"/>
  <c r="Q35" i="170"/>
  <c r="Q31" i="170"/>
  <c r="AB31" i="172"/>
  <c r="T34" i="172"/>
  <c r="AB34" i="172" s="1"/>
  <c r="R36" i="171"/>
  <c r="R32" i="171"/>
  <c r="S36" i="171"/>
  <c r="AA36" i="171" s="1"/>
  <c r="S34" i="171"/>
  <c r="AA34" i="171" s="1"/>
  <c r="S32" i="171"/>
  <c r="AA32" i="171" s="1"/>
  <c r="AB35" i="172"/>
  <c r="AB37" i="172"/>
  <c r="S37" i="172"/>
  <c r="AA37" i="172" s="1"/>
  <c r="Q32" i="172"/>
  <c r="Q34" i="172"/>
  <c r="S32" i="173"/>
  <c r="AA32" i="173" s="1"/>
  <c r="S37" i="173"/>
  <c r="AA37" i="173" s="1"/>
  <c r="S34" i="173"/>
  <c r="AA34" i="173" s="1"/>
  <c r="T36" i="173"/>
  <c r="AB36" i="173" s="1"/>
  <c r="T34" i="173"/>
  <c r="AB34" i="173" s="1"/>
  <c r="T32" i="173"/>
  <c r="AB32" i="173" s="1"/>
  <c r="T30" i="173"/>
  <c r="AB30" i="173" s="1"/>
  <c r="S36" i="173"/>
  <c r="AA36" i="173" s="1"/>
  <c r="R31" i="173"/>
  <c r="U31" i="173" s="1"/>
  <c r="R32" i="173"/>
  <c r="R33" i="173"/>
  <c r="U33" i="173" s="1"/>
  <c r="R34" i="173"/>
  <c r="R35" i="173"/>
  <c r="U35" i="173" s="1"/>
  <c r="R36" i="173"/>
  <c r="R37" i="173"/>
  <c r="T36" i="172"/>
  <c r="AB36" i="172" s="1"/>
  <c r="T32" i="172"/>
  <c r="AB32" i="172" s="1"/>
  <c r="T30" i="172"/>
  <c r="AB30" i="172" s="1"/>
  <c r="R36" i="172"/>
  <c r="S32" i="172"/>
  <c r="AA32" i="172" s="1"/>
  <c r="S36" i="172"/>
  <c r="AA36" i="172" s="1"/>
  <c r="S31" i="172"/>
  <c r="AA31" i="172" s="1"/>
  <c r="S34" i="172"/>
  <c r="AA34" i="172" s="1"/>
  <c r="S35" i="172"/>
  <c r="AA35" i="172" s="1"/>
  <c r="R32" i="172"/>
  <c r="R31" i="172"/>
  <c r="R34" i="172"/>
  <c r="R35" i="172"/>
  <c r="R33" i="172"/>
  <c r="R37" i="172"/>
  <c r="AO12" i="64"/>
  <c r="F13" i="64"/>
  <c r="H13" i="64" s="1"/>
  <c r="B12" i="50" s="1"/>
  <c r="AH11" i="64"/>
  <c r="AJ11" i="64" s="1"/>
  <c r="C17" i="50"/>
  <c r="AA11" i="64"/>
  <c r="AC11" i="64" s="1"/>
  <c r="E10" i="50" s="1"/>
  <c r="T12" i="64"/>
  <c r="V12" i="64" s="1"/>
  <c r="D11" i="50" s="1"/>
  <c r="D17" i="50"/>
  <c r="T11" i="64"/>
  <c r="V11" i="64" s="1"/>
  <c r="D10" i="50" s="1"/>
  <c r="AA12" i="64"/>
  <c r="AC12" i="64" s="1"/>
  <c r="E11" i="50" s="1"/>
  <c r="M11" i="64"/>
  <c r="O11" i="64" s="1"/>
  <c r="C10" i="50" s="1"/>
  <c r="B17" i="50"/>
  <c r="AA18" i="64"/>
  <c r="AC18" i="64" s="1"/>
  <c r="E17" i="50" s="1"/>
  <c r="F12" i="64"/>
  <c r="H12" i="64" s="1"/>
  <c r="B11" i="50" s="1"/>
  <c r="F11" i="64"/>
  <c r="H11" i="64" s="1"/>
  <c r="B10" i="50" s="1"/>
  <c r="B34" i="33" l="1"/>
  <c r="B36" i="33"/>
  <c r="B37" i="33"/>
  <c r="J37" i="33" s="1"/>
  <c r="AB31" i="165"/>
  <c r="D31" i="33"/>
  <c r="AA36" i="165"/>
  <c r="C36" i="33"/>
  <c r="K36" i="33" s="1"/>
  <c r="C35" i="33"/>
  <c r="D36" i="33"/>
  <c r="C34" i="33"/>
  <c r="Z33" i="165"/>
  <c r="B33" i="33"/>
  <c r="AB33" i="165"/>
  <c r="D33" i="33"/>
  <c r="Z35" i="165"/>
  <c r="B35" i="33"/>
  <c r="J35" i="33" s="1"/>
  <c r="C37" i="33"/>
  <c r="B31" i="33"/>
  <c r="AA32" i="165"/>
  <c r="C32" i="33"/>
  <c r="K32" i="33" s="1"/>
  <c r="D32" i="33"/>
  <c r="C31" i="33"/>
  <c r="Z32" i="165"/>
  <c r="B32" i="33"/>
  <c r="J32" i="33" s="1"/>
  <c r="C33" i="33"/>
  <c r="D34" i="33"/>
  <c r="AQ12" i="64"/>
  <c r="AQ11" i="64"/>
  <c r="AB30" i="168"/>
  <c r="D30" i="33"/>
  <c r="L30" i="33" s="1"/>
  <c r="Z37" i="171"/>
  <c r="AC37" i="171" s="1"/>
  <c r="U35" i="165"/>
  <c r="U37" i="169"/>
  <c r="U36" i="165"/>
  <c r="F10" i="50"/>
  <c r="BS12" i="64"/>
  <c r="K11" i="50" s="1"/>
  <c r="BS11" i="64"/>
  <c r="K10" i="50" s="1"/>
  <c r="U33" i="166"/>
  <c r="L34" i="33"/>
  <c r="L36" i="33"/>
  <c r="U34" i="172"/>
  <c r="U37" i="172"/>
  <c r="AC34" i="171"/>
  <c r="U34" i="171"/>
  <c r="U33" i="165"/>
  <c r="U36" i="173"/>
  <c r="U34" i="173"/>
  <c r="U37" i="173"/>
  <c r="U36" i="172"/>
  <c r="J36" i="33"/>
  <c r="U31" i="170"/>
  <c r="U35" i="169"/>
  <c r="U37" i="167"/>
  <c r="K35" i="33"/>
  <c r="K37" i="33"/>
  <c r="AC37" i="165"/>
  <c r="AA34" i="165"/>
  <c r="AC34" i="165" s="1"/>
  <c r="K34" i="33"/>
  <c r="AC36" i="165"/>
  <c r="AC35" i="165"/>
  <c r="U33" i="168"/>
  <c r="AC33" i="166"/>
  <c r="AC33" i="168"/>
  <c r="U32" i="168"/>
  <c r="AC33" i="169"/>
  <c r="Z32" i="168"/>
  <c r="AC32" i="168" s="1"/>
  <c r="Z31" i="170"/>
  <c r="AC31" i="170" s="1"/>
  <c r="U33" i="171"/>
  <c r="U33" i="169"/>
  <c r="L31" i="33"/>
  <c r="U31" i="166"/>
  <c r="U32" i="166"/>
  <c r="AC33" i="165"/>
  <c r="U32" i="165"/>
  <c r="AB30" i="165"/>
  <c r="L33" i="33"/>
  <c r="U33" i="172"/>
  <c r="AB32" i="165"/>
  <c r="L32" i="33"/>
  <c r="AC31" i="166"/>
  <c r="U32" i="172"/>
  <c r="K33" i="33"/>
  <c r="K31" i="33"/>
  <c r="U31" i="172"/>
  <c r="AC32" i="166"/>
  <c r="U34" i="168"/>
  <c r="J34" i="33"/>
  <c r="Z31" i="171"/>
  <c r="AC31" i="171" s="1"/>
  <c r="U31" i="165"/>
  <c r="Z31" i="165"/>
  <c r="AC35" i="170"/>
  <c r="AC35" i="169"/>
  <c r="AC33" i="167"/>
  <c r="AC36" i="167"/>
  <c r="BX12" i="64"/>
  <c r="BZ12" i="64" s="1"/>
  <c r="L17" i="50"/>
  <c r="BX18" i="64"/>
  <c r="BZ18" i="64" s="1"/>
  <c r="V39" i="168"/>
  <c r="BX11" i="64"/>
  <c r="BZ11" i="64" s="1"/>
  <c r="U32" i="169"/>
  <c r="Z32" i="169"/>
  <c r="AC32" i="169" s="1"/>
  <c r="Z32" i="167"/>
  <c r="AC32" i="167" s="1"/>
  <c r="U32" i="167"/>
  <c r="Z32" i="171"/>
  <c r="AC32" i="171" s="1"/>
  <c r="U32" i="171"/>
  <c r="Z32" i="170"/>
  <c r="AC32" i="170" s="1"/>
  <c r="U32" i="170"/>
  <c r="AC37" i="167"/>
  <c r="U36" i="171"/>
  <c r="Z36" i="171"/>
  <c r="AC36" i="171" s="1"/>
  <c r="U31" i="169"/>
  <c r="U36" i="169"/>
  <c r="Z36" i="169"/>
  <c r="AC36" i="169" s="1"/>
  <c r="Z34" i="169"/>
  <c r="AC34" i="169" s="1"/>
  <c r="U34" i="169"/>
  <c r="Z35" i="168"/>
  <c r="AC35" i="168" s="1"/>
  <c r="U35" i="168"/>
  <c r="U34" i="165"/>
  <c r="Z37" i="168"/>
  <c r="AC37" i="168" s="1"/>
  <c r="U37" i="168"/>
  <c r="Z35" i="171"/>
  <c r="AC35" i="171" s="1"/>
  <c r="U35" i="171"/>
  <c r="Z34" i="170"/>
  <c r="AC34" i="170" s="1"/>
  <c r="U34" i="170"/>
  <c r="Z31" i="168"/>
  <c r="AC31" i="168" s="1"/>
  <c r="U31" i="168"/>
  <c r="Z34" i="167"/>
  <c r="AC34" i="167" s="1"/>
  <c r="U34" i="167"/>
  <c r="U35" i="172"/>
  <c r="U32" i="173"/>
  <c r="AC31" i="169"/>
  <c r="U35" i="170"/>
  <c r="U36" i="170"/>
  <c r="Z36" i="170"/>
  <c r="AC36" i="170" s="1"/>
  <c r="AA33" i="170"/>
  <c r="AC33" i="170" s="1"/>
  <c r="U33" i="170"/>
  <c r="Z31" i="167"/>
  <c r="AC31" i="167" s="1"/>
  <c r="U31" i="167"/>
  <c r="U37" i="170"/>
  <c r="U36" i="167"/>
  <c r="Z35" i="167"/>
  <c r="AC35" i="167" s="1"/>
  <c r="U35" i="167"/>
  <c r="U34" i="166"/>
  <c r="Z34" i="166"/>
  <c r="AC34" i="166" s="1"/>
  <c r="U33" i="167"/>
  <c r="Z35" i="173"/>
  <c r="AC35" i="173" s="1"/>
  <c r="Z31" i="173"/>
  <c r="AC31" i="173" s="1"/>
  <c r="Z37" i="173"/>
  <c r="AC37" i="173" s="1"/>
  <c r="Z33" i="173"/>
  <c r="AC33" i="173" s="1"/>
  <c r="Z34" i="173"/>
  <c r="AC34" i="173" s="1"/>
  <c r="Z36" i="173"/>
  <c r="AC36" i="173" s="1"/>
  <c r="Z32" i="173"/>
  <c r="AC32" i="173" s="1"/>
  <c r="Z33" i="172"/>
  <c r="AC33" i="172" s="1"/>
  <c r="Z36" i="172"/>
  <c r="AC36" i="172" s="1"/>
  <c r="Z37" i="172"/>
  <c r="AC37" i="172" s="1"/>
  <c r="Z31" i="172"/>
  <c r="AC31" i="172" s="1"/>
  <c r="Z32" i="172"/>
  <c r="AC32" i="172" s="1"/>
  <c r="Z34" i="172"/>
  <c r="AC34" i="172" s="1"/>
  <c r="Z35" i="172"/>
  <c r="AC35" i="172" s="1"/>
  <c r="AC31" i="165" l="1"/>
  <c r="AC32" i="165"/>
  <c r="M35" i="33"/>
  <c r="M36" i="33"/>
  <c r="M34" i="33"/>
  <c r="M37" i="33"/>
  <c r="M32" i="33"/>
  <c r="G10" i="50"/>
  <c r="L10" i="50" s="1"/>
  <c r="G11" i="50"/>
  <c r="E35" i="33"/>
  <c r="E36" i="33"/>
  <c r="E37" i="33"/>
  <c r="E32" i="33"/>
  <c r="E34" i="33"/>
  <c r="E33" i="33"/>
  <c r="J33" i="33"/>
  <c r="M33" i="33" s="1"/>
  <c r="J31" i="33"/>
  <c r="M31" i="33" s="1"/>
  <c r="E31" i="33"/>
  <c r="M17" i="41" l="1"/>
  <c r="O36" i="162"/>
  <c r="P36" i="162"/>
  <c r="O37" i="162"/>
  <c r="P37" i="162"/>
  <c r="O38" i="162"/>
  <c r="P38" i="162"/>
  <c r="N36" i="162"/>
  <c r="N37" i="162"/>
  <c r="N38" i="162"/>
  <c r="M32" i="162"/>
  <c r="M36" i="162"/>
  <c r="I33" i="162"/>
  <c r="I37" i="162"/>
  <c r="E33" i="162"/>
  <c r="E37" i="162"/>
  <c r="O36" i="91"/>
  <c r="P36" i="91"/>
  <c r="O37" i="91"/>
  <c r="S37" i="91" s="1"/>
  <c r="P37" i="91"/>
  <c r="O38" i="91"/>
  <c r="P38" i="91"/>
  <c r="N36" i="91"/>
  <c r="N37" i="91"/>
  <c r="N38" i="91"/>
  <c r="V45" i="8"/>
  <c r="T45" i="8"/>
  <c r="S13" i="143" s="1"/>
  <c r="S45" i="8"/>
  <c r="R45" i="8"/>
  <c r="Q45" i="8"/>
  <c r="P45" i="8"/>
  <c r="O45" i="8"/>
  <c r="M45" i="8"/>
  <c r="R13" i="143" s="1"/>
  <c r="R26" i="143" s="1"/>
  <c r="L45" i="8"/>
  <c r="K45" i="8"/>
  <c r="J45" i="8"/>
  <c r="I45" i="8"/>
  <c r="O44" i="8"/>
  <c r="M44" i="8"/>
  <c r="R12" i="143" s="1"/>
  <c r="R25" i="143" s="1"/>
  <c r="L44" i="8"/>
  <c r="K44" i="8"/>
  <c r="J44" i="8"/>
  <c r="I44" i="8"/>
  <c r="L43" i="8"/>
  <c r="J43" i="8"/>
  <c r="O35" i="160"/>
  <c r="P35" i="160"/>
  <c r="O36" i="160"/>
  <c r="P36" i="160"/>
  <c r="T36" i="160" s="1"/>
  <c r="O37" i="160"/>
  <c r="P37" i="160"/>
  <c r="N35" i="160"/>
  <c r="N36" i="160"/>
  <c r="N37" i="160"/>
  <c r="R37" i="160" s="1"/>
  <c r="S35" i="160"/>
  <c r="Z36" i="159"/>
  <c r="Z37" i="159"/>
  <c r="V36" i="159"/>
  <c r="V37" i="159"/>
  <c r="O36" i="159"/>
  <c r="P36" i="159"/>
  <c r="O37" i="159"/>
  <c r="P37" i="159"/>
  <c r="N36" i="159"/>
  <c r="N37" i="159"/>
  <c r="M36" i="159"/>
  <c r="E36" i="159"/>
  <c r="S36" i="159"/>
  <c r="V23" i="156"/>
  <c r="V24" i="156"/>
  <c r="V28" i="156"/>
  <c r="V29" i="156"/>
  <c r="V30" i="156"/>
  <c r="V31" i="156"/>
  <c r="V32" i="156"/>
  <c r="V33" i="156"/>
  <c r="V34" i="156"/>
  <c r="V35" i="156"/>
  <c r="V36" i="156"/>
  <c r="V37" i="156"/>
  <c r="O35" i="156"/>
  <c r="S35" i="156" s="1"/>
  <c r="P35" i="156"/>
  <c r="T35" i="156" s="1"/>
  <c r="O36" i="156"/>
  <c r="S36" i="156" s="1"/>
  <c r="P36" i="156"/>
  <c r="T36" i="156" s="1"/>
  <c r="O37" i="156"/>
  <c r="S37" i="156" s="1"/>
  <c r="P37" i="156"/>
  <c r="T37" i="156" s="1"/>
  <c r="N35" i="156"/>
  <c r="R35" i="156" s="1"/>
  <c r="N36" i="156"/>
  <c r="R36" i="156" s="1"/>
  <c r="N37" i="156"/>
  <c r="R37" i="156" s="1"/>
  <c r="W27" i="50"/>
  <c r="W26" i="50"/>
  <c r="W8" i="50"/>
  <c r="W9" i="50"/>
  <c r="W10" i="50"/>
  <c r="W11" i="50"/>
  <c r="W12" i="50"/>
  <c r="W13" i="50"/>
  <c r="W14" i="50"/>
  <c r="W15" i="50"/>
  <c r="W16" i="50"/>
  <c r="W18" i="50"/>
  <c r="W19" i="50"/>
  <c r="W20" i="50"/>
  <c r="W22" i="50"/>
  <c r="W25" i="50"/>
  <c r="S26" i="143" l="1"/>
  <c r="Q37" i="162"/>
  <c r="P42" i="160"/>
  <c r="O42" i="160"/>
  <c r="N42" i="160"/>
  <c r="O42" i="156"/>
  <c r="V42" i="156"/>
  <c r="P42" i="156"/>
  <c r="N42" i="156"/>
  <c r="Q36" i="162"/>
  <c r="Q38" i="162"/>
  <c r="Q37" i="159"/>
  <c r="T42" i="156"/>
  <c r="U51" i="8"/>
  <c r="I35" i="91"/>
  <c r="M33" i="162"/>
  <c r="M35" i="162"/>
  <c r="M31" i="162"/>
  <c r="T38" i="91"/>
  <c r="T36" i="91"/>
  <c r="M37" i="162"/>
  <c r="Q36" i="91"/>
  <c r="Q37" i="91"/>
  <c r="E36" i="162"/>
  <c r="I36" i="162"/>
  <c r="R37" i="91"/>
  <c r="S38" i="91"/>
  <c r="S36" i="91"/>
  <c r="I33" i="91"/>
  <c r="E35" i="162"/>
  <c r="E31" i="162"/>
  <c r="I35" i="162"/>
  <c r="I31" i="162"/>
  <c r="E32" i="162"/>
  <c r="I32" i="162"/>
  <c r="R36" i="91"/>
  <c r="E32" i="91"/>
  <c r="T37" i="91"/>
  <c r="E38" i="162"/>
  <c r="E34" i="162"/>
  <c r="E30" i="162"/>
  <c r="T38" i="162"/>
  <c r="T36" i="162"/>
  <c r="I38" i="162"/>
  <c r="I34" i="162"/>
  <c r="I30" i="162"/>
  <c r="M38" i="162"/>
  <c r="M34" i="162"/>
  <c r="M30" i="162"/>
  <c r="M33" i="91"/>
  <c r="E38" i="91"/>
  <c r="E30" i="91"/>
  <c r="E36" i="91"/>
  <c r="I37" i="91"/>
  <c r="M36" i="91"/>
  <c r="M32" i="91"/>
  <c r="Q38" i="91"/>
  <c r="R38" i="91"/>
  <c r="M37" i="91"/>
  <c r="M35" i="91"/>
  <c r="M31" i="91"/>
  <c r="S38" i="162"/>
  <c r="W7" i="50"/>
  <c r="G39" i="96"/>
  <c r="R39" i="143" s="1"/>
  <c r="E40" i="96"/>
  <c r="E39" i="96"/>
  <c r="W21" i="50"/>
  <c r="G40" i="96"/>
  <c r="R40" i="143" s="1"/>
  <c r="W17" i="50"/>
  <c r="D40" i="96"/>
  <c r="D39" i="96"/>
  <c r="I36" i="159"/>
  <c r="E37" i="159"/>
  <c r="M37" i="159"/>
  <c r="Q36" i="159"/>
  <c r="V9" i="50"/>
  <c r="F12" i="96"/>
  <c r="V13" i="50" s="1"/>
  <c r="F16" i="96"/>
  <c r="H16" i="96" s="1"/>
  <c r="F20" i="96"/>
  <c r="C40" i="96"/>
  <c r="C39" i="96"/>
  <c r="F10" i="96"/>
  <c r="V11" i="50" s="1"/>
  <c r="F14" i="96"/>
  <c r="V15" i="50" s="1"/>
  <c r="F18" i="96"/>
  <c r="V19" i="50" s="1"/>
  <c r="Q35" i="156"/>
  <c r="V25" i="50"/>
  <c r="Q36" i="156"/>
  <c r="Q37" i="156"/>
  <c r="V25" i="156"/>
  <c r="V21" i="156"/>
  <c r="V17" i="156"/>
  <c r="V13" i="156"/>
  <c r="V9" i="156"/>
  <c r="V27" i="50"/>
  <c r="V20" i="156"/>
  <c r="V16" i="156"/>
  <c r="V12" i="156"/>
  <c r="V8" i="156"/>
  <c r="V27" i="156"/>
  <c r="V19" i="156"/>
  <c r="V15" i="156"/>
  <c r="V11" i="156"/>
  <c r="F11" i="96"/>
  <c r="F15" i="96"/>
  <c r="F19" i="96"/>
  <c r="G38" i="96"/>
  <c r="V7" i="156"/>
  <c r="V26" i="156"/>
  <c r="V22" i="156"/>
  <c r="V18" i="156"/>
  <c r="V14" i="156"/>
  <c r="V10" i="156"/>
  <c r="T37" i="162"/>
  <c r="S36" i="162"/>
  <c r="R38" i="162"/>
  <c r="S37" i="162"/>
  <c r="R37" i="162"/>
  <c r="R36" i="162"/>
  <c r="E33" i="91"/>
  <c r="I31" i="91"/>
  <c r="E34" i="91"/>
  <c r="M38" i="91"/>
  <c r="M34" i="91"/>
  <c r="M30" i="91"/>
  <c r="E37" i="91"/>
  <c r="E35" i="91"/>
  <c r="E31" i="91"/>
  <c r="I36" i="91"/>
  <c r="I32" i="91"/>
  <c r="I38" i="91"/>
  <c r="I34" i="91"/>
  <c r="I30" i="91"/>
  <c r="I37" i="159"/>
  <c r="R36" i="160"/>
  <c r="S36" i="160"/>
  <c r="E30" i="160"/>
  <c r="E37" i="160"/>
  <c r="E29" i="160"/>
  <c r="Q36" i="160"/>
  <c r="R35" i="160"/>
  <c r="T37" i="160"/>
  <c r="T35" i="160"/>
  <c r="S37" i="160"/>
  <c r="I30" i="160"/>
  <c r="E32" i="160"/>
  <c r="I29" i="160"/>
  <c r="M36" i="160"/>
  <c r="M34" i="160"/>
  <c r="M30" i="160"/>
  <c r="M37" i="160"/>
  <c r="M33" i="160"/>
  <c r="I37" i="160"/>
  <c r="I33" i="160"/>
  <c r="M32" i="160"/>
  <c r="E36" i="160"/>
  <c r="Q37" i="160"/>
  <c r="E33" i="160"/>
  <c r="M35" i="160"/>
  <c r="M31" i="160"/>
  <c r="M29" i="160"/>
  <c r="I36" i="160"/>
  <c r="I32" i="160"/>
  <c r="I34" i="160"/>
  <c r="I31" i="160"/>
  <c r="I35" i="160"/>
  <c r="E34" i="160"/>
  <c r="E31" i="160"/>
  <c r="Q35" i="160"/>
  <c r="E35" i="160"/>
  <c r="S37" i="159"/>
  <c r="T36" i="159"/>
  <c r="T37" i="159"/>
  <c r="R37" i="159"/>
  <c r="R36" i="159"/>
  <c r="F9" i="96"/>
  <c r="F13" i="96"/>
  <c r="F17" i="96"/>
  <c r="F21" i="96"/>
  <c r="R42" i="160" l="1"/>
  <c r="Q42" i="156"/>
  <c r="Q47" i="156" s="1"/>
  <c r="R42" i="143"/>
  <c r="G47" i="96"/>
  <c r="Q42" i="160"/>
  <c r="Q47" i="160" s="1"/>
  <c r="R42" i="156"/>
  <c r="S42" i="156"/>
  <c r="T42" i="160"/>
  <c r="S42" i="160"/>
  <c r="U37" i="160"/>
  <c r="U36" i="160"/>
  <c r="U37" i="91"/>
  <c r="U36" i="91"/>
  <c r="U37" i="162"/>
  <c r="U36" i="162"/>
  <c r="U38" i="162"/>
  <c r="U38" i="91"/>
  <c r="H10" i="96"/>
  <c r="V39" i="156"/>
  <c r="I8" i="187" s="1"/>
  <c r="V40" i="156"/>
  <c r="V41" i="156"/>
  <c r="G8" i="187" s="1"/>
  <c r="V17" i="50"/>
  <c r="H12" i="96"/>
  <c r="F39" i="96"/>
  <c r="V21" i="50"/>
  <c r="F40" i="96"/>
  <c r="R35" i="143" s="1"/>
  <c r="U37" i="156"/>
  <c r="H20" i="96"/>
  <c r="H18" i="96"/>
  <c r="U35" i="156"/>
  <c r="U36" i="156"/>
  <c r="H14" i="96"/>
  <c r="V7" i="50"/>
  <c r="V20" i="50"/>
  <c r="H19" i="96"/>
  <c r="V22" i="50"/>
  <c r="H21" i="96"/>
  <c r="V16" i="50"/>
  <c r="H15" i="96"/>
  <c r="V18" i="50"/>
  <c r="H17" i="96"/>
  <c r="V12" i="50"/>
  <c r="H11" i="96"/>
  <c r="V10" i="50"/>
  <c r="H9" i="96"/>
  <c r="V26" i="50"/>
  <c r="V14" i="50"/>
  <c r="H13" i="96"/>
  <c r="V8" i="50"/>
  <c r="U36" i="159"/>
  <c r="AD36" i="159"/>
  <c r="AD37" i="159"/>
  <c r="U37" i="159"/>
  <c r="U35" i="160"/>
  <c r="Z37" i="156"/>
  <c r="Z36" i="156"/>
  <c r="Z35" i="156"/>
  <c r="Z42" i="156" l="1"/>
  <c r="U42" i="156"/>
  <c r="U47" i="156" s="1"/>
  <c r="U42" i="160"/>
  <c r="U47" i="160" s="1"/>
  <c r="H40" i="96"/>
  <c r="R52" i="143" s="1"/>
  <c r="R34" i="143"/>
  <c r="H39" i="96"/>
  <c r="R51" i="143" s="1"/>
  <c r="F8" i="187"/>
  <c r="D41" i="157" l="1"/>
  <c r="K42" i="159"/>
  <c r="L42" i="159"/>
  <c r="J42" i="159"/>
  <c r="M42" i="159" l="1"/>
  <c r="M47" i="159" s="1"/>
  <c r="M35" i="159"/>
  <c r="C42" i="159"/>
  <c r="B41" i="157"/>
  <c r="D42" i="159"/>
  <c r="B42" i="159"/>
  <c r="B40" i="157"/>
  <c r="F42" i="159"/>
  <c r="G42" i="159"/>
  <c r="H42" i="159"/>
  <c r="C41" i="157"/>
  <c r="I42" i="159" l="1"/>
  <c r="I47" i="159" s="1"/>
  <c r="I30" i="159"/>
  <c r="E32" i="159"/>
  <c r="E42" i="159"/>
  <c r="E47" i="159" s="1"/>
  <c r="M29" i="159"/>
  <c r="M31" i="159"/>
  <c r="I32" i="159"/>
  <c r="M32" i="159"/>
  <c r="I31" i="159"/>
  <c r="M33" i="159"/>
  <c r="I35" i="159"/>
  <c r="E29" i="159"/>
  <c r="M30" i="159"/>
  <c r="E35" i="159"/>
  <c r="I34" i="159"/>
  <c r="E33" i="159"/>
  <c r="E31" i="159"/>
  <c r="I29" i="159"/>
  <c r="M34" i="159"/>
  <c r="E34" i="159"/>
  <c r="E30" i="159"/>
  <c r="I33" i="159"/>
  <c r="O35" i="159" l="1"/>
  <c r="O42" i="159" s="1"/>
  <c r="P35" i="159"/>
  <c r="P42" i="159" s="1"/>
  <c r="N35" i="159"/>
  <c r="N42" i="159" s="1"/>
  <c r="E41" i="157"/>
  <c r="Q42" i="159" l="1"/>
  <c r="Q47" i="159" s="1"/>
  <c r="S35" i="50"/>
  <c r="Q35" i="159"/>
  <c r="R35" i="159"/>
  <c r="S35" i="159"/>
  <c r="S42" i="159" s="1"/>
  <c r="T35" i="159"/>
  <c r="T42" i="159" s="1"/>
  <c r="R42" i="159" l="1"/>
  <c r="U35" i="159"/>
  <c r="X25" i="50"/>
  <c r="U42" i="159" l="1"/>
  <c r="U47" i="159" s="1"/>
  <c r="X34" i="50"/>
  <c r="X36" i="50"/>
  <c r="X35" i="50"/>
  <c r="B41" i="19"/>
  <c r="X37" i="50"/>
  <c r="V31" i="154" l="1"/>
  <c r="V33" i="154"/>
  <c r="V34" i="154"/>
  <c r="V35" i="154"/>
  <c r="V36" i="154"/>
  <c r="V37" i="154"/>
  <c r="O35" i="154"/>
  <c r="P35" i="154"/>
  <c r="O36" i="154"/>
  <c r="P36" i="154"/>
  <c r="O37" i="154"/>
  <c r="P37" i="154"/>
  <c r="N35" i="154"/>
  <c r="N36" i="154"/>
  <c r="N37" i="154"/>
  <c r="M35" i="154"/>
  <c r="M37" i="154"/>
  <c r="M31" i="154"/>
  <c r="M34" i="154"/>
  <c r="M36" i="154"/>
  <c r="I34" i="154"/>
  <c r="I36" i="154"/>
  <c r="I33" i="154"/>
  <c r="I35" i="154"/>
  <c r="I37" i="154"/>
  <c r="C31" i="154"/>
  <c r="D31" i="154"/>
  <c r="C33" i="154"/>
  <c r="D33" i="154"/>
  <c r="C34" i="154"/>
  <c r="D34" i="154"/>
  <c r="C35" i="154"/>
  <c r="D35" i="154"/>
  <c r="C36" i="154"/>
  <c r="D36" i="154"/>
  <c r="T36" i="154" s="1"/>
  <c r="C37" i="154"/>
  <c r="D37" i="154"/>
  <c r="B31" i="154"/>
  <c r="B33" i="154"/>
  <c r="B34" i="154"/>
  <c r="B35" i="154"/>
  <c r="B36" i="154"/>
  <c r="B37" i="154"/>
  <c r="D19" i="154"/>
  <c r="D20" i="154"/>
  <c r="C22" i="154"/>
  <c r="D23" i="154"/>
  <c r="C24" i="154"/>
  <c r="C25" i="154"/>
  <c r="D27" i="154"/>
  <c r="D28" i="154"/>
  <c r="C30" i="154"/>
  <c r="D32" i="154"/>
  <c r="E33" i="154" l="1"/>
  <c r="S36" i="154"/>
  <c r="Q37" i="154"/>
  <c r="T37" i="154"/>
  <c r="T35" i="154"/>
  <c r="S37" i="154"/>
  <c r="S35" i="154"/>
  <c r="Q35" i="154"/>
  <c r="E36" i="154"/>
  <c r="R36" i="154"/>
  <c r="E35" i="154"/>
  <c r="R35" i="154"/>
  <c r="E37" i="154"/>
  <c r="R37" i="154"/>
  <c r="E34" i="154"/>
  <c r="Q36" i="154"/>
  <c r="I31" i="154"/>
  <c r="E31" i="154"/>
  <c r="D39" i="95"/>
  <c r="D40" i="95"/>
  <c r="E40" i="95"/>
  <c r="E39" i="95"/>
  <c r="C40" i="95"/>
  <c r="C39" i="95"/>
  <c r="B32" i="154"/>
  <c r="C28" i="154"/>
  <c r="C32" i="154"/>
  <c r="D22" i="154"/>
  <c r="B20" i="154"/>
  <c r="M33" i="154"/>
  <c r="B24" i="154"/>
  <c r="D30" i="154"/>
  <c r="C23" i="154"/>
  <c r="C19" i="154"/>
  <c r="C27" i="154"/>
  <c r="B30" i="154"/>
  <c r="D24" i="154"/>
  <c r="C20" i="154"/>
  <c r="D29" i="154"/>
  <c r="C29" i="154"/>
  <c r="AB30" i="50"/>
  <c r="B29" i="154"/>
  <c r="D25" i="154"/>
  <c r="F24" i="95"/>
  <c r="AB25" i="50" s="1"/>
  <c r="D21" i="154"/>
  <c r="B21" i="154"/>
  <c r="C21" i="154"/>
  <c r="F15" i="95"/>
  <c r="F20" i="95"/>
  <c r="F25" i="95"/>
  <c r="C26" i="154"/>
  <c r="B26" i="154"/>
  <c r="D26" i="154"/>
  <c r="F21" i="95"/>
  <c r="B22" i="154"/>
  <c r="F17" i="95"/>
  <c r="B25" i="154"/>
  <c r="AB29" i="50"/>
  <c r="F23" i="95"/>
  <c r="AB24" i="50" s="1"/>
  <c r="F19" i="95"/>
  <c r="F16" i="95"/>
  <c r="B28" i="154"/>
  <c r="B27" i="154"/>
  <c r="B23" i="154"/>
  <c r="B19" i="154"/>
  <c r="AB28" i="50"/>
  <c r="AB27" i="50"/>
  <c r="F22" i="95"/>
  <c r="AB23" i="50" s="1"/>
  <c r="F18" i="95"/>
  <c r="AB32" i="50"/>
  <c r="AB26" i="50" l="1"/>
  <c r="AB22" i="50"/>
  <c r="AB21" i="50"/>
  <c r="AB20" i="50"/>
  <c r="AB19" i="50"/>
  <c r="AB18" i="50"/>
  <c r="AB17" i="50"/>
  <c r="AB16" i="50"/>
  <c r="E27" i="154"/>
  <c r="Z36" i="154"/>
  <c r="U36" i="154"/>
  <c r="Z37" i="154"/>
  <c r="U37" i="154"/>
  <c r="Z35" i="154"/>
  <c r="U35" i="154"/>
  <c r="E28" i="154"/>
  <c r="E32" i="154"/>
  <c r="E23" i="154"/>
  <c r="E20" i="154"/>
  <c r="E25" i="154"/>
  <c r="E22" i="154"/>
  <c r="E30" i="154"/>
  <c r="M30" i="154"/>
  <c r="E24" i="154"/>
  <c r="E29" i="154"/>
  <c r="E19" i="154"/>
  <c r="M32" i="154"/>
  <c r="I29" i="154"/>
  <c r="M29" i="154"/>
  <c r="I32" i="154"/>
  <c r="E26" i="154"/>
  <c r="E21" i="154"/>
  <c r="I30" i="154"/>
  <c r="N51" i="8" l="1"/>
  <c r="AA21" i="64" l="1"/>
  <c r="AC21" i="64" s="1"/>
  <c r="E20" i="50" s="1"/>
  <c r="AA22" i="64"/>
  <c r="AC22" i="64" s="1"/>
  <c r="E21" i="50" s="1"/>
  <c r="F21" i="50"/>
  <c r="AC27" i="50"/>
  <c r="AF27" i="50" s="1"/>
  <c r="AC26" i="50"/>
  <c r="AF26" i="50" s="1"/>
  <c r="AC25" i="50"/>
  <c r="AF25" i="50" s="1"/>
  <c r="AC24" i="50"/>
  <c r="AF24" i="50" s="1"/>
  <c r="AC23" i="50"/>
  <c r="AF23" i="50" s="1"/>
  <c r="AC21" i="50"/>
  <c r="AF21" i="50" s="1"/>
  <c r="AC20" i="50"/>
  <c r="AF20" i="50" s="1"/>
  <c r="AC22" i="50"/>
  <c r="AF22" i="50" s="1"/>
  <c r="AC17" i="50"/>
  <c r="AF17" i="50" s="1"/>
  <c r="AC16" i="50"/>
  <c r="AF16" i="50" s="1"/>
  <c r="AC15" i="50"/>
  <c r="AC14" i="50"/>
  <c r="F20" i="50" l="1"/>
  <c r="BX22" i="64"/>
  <c r="BZ22" i="64" s="1"/>
  <c r="Y33" i="50"/>
  <c r="T8" i="8"/>
  <c r="P41" i="8"/>
  <c r="P44" i="8"/>
  <c r="R41" i="8"/>
  <c r="Y17" i="50"/>
  <c r="P43" i="8"/>
  <c r="Q44" i="8"/>
  <c r="R43" i="8"/>
  <c r="Q41" i="8"/>
  <c r="D39" i="151"/>
  <c r="Y23" i="50"/>
  <c r="Y29" i="50"/>
  <c r="S44" i="8"/>
  <c r="S41" i="8"/>
  <c r="Y27" i="50"/>
  <c r="R44" i="8"/>
  <c r="S43" i="8"/>
  <c r="Y28" i="50"/>
  <c r="Q43" i="8"/>
  <c r="C39" i="151"/>
  <c r="Y30" i="50"/>
  <c r="L21" i="50"/>
  <c r="F14" i="151"/>
  <c r="F13" i="151"/>
  <c r="F6" i="151"/>
  <c r="F13" i="95"/>
  <c r="V21" i="154"/>
  <c r="H20" i="95"/>
  <c r="V14" i="154"/>
  <c r="V23" i="154"/>
  <c r="H22" i="95"/>
  <c r="V26" i="154"/>
  <c r="H25" i="95"/>
  <c r="F14" i="95"/>
  <c r="V24" i="154"/>
  <c r="H23" i="95"/>
  <c r="V27" i="154"/>
  <c r="H26" i="95"/>
  <c r="V16" i="154"/>
  <c r="H15" i="95"/>
  <c r="V17" i="154"/>
  <c r="H16" i="95"/>
  <c r="V22" i="154"/>
  <c r="H21" i="95"/>
  <c r="V15" i="154"/>
  <c r="V20" i="154"/>
  <c r="H19" i="95"/>
  <c r="V25" i="154"/>
  <c r="H24" i="95"/>
  <c r="D38" i="151"/>
  <c r="C38" i="151"/>
  <c r="T42" i="8" l="1"/>
  <c r="S10" i="143" s="1"/>
  <c r="S23" i="143" s="1"/>
  <c r="P7" i="50"/>
  <c r="D47" i="151"/>
  <c r="C47" i="151"/>
  <c r="Z14" i="50"/>
  <c r="H13" i="151"/>
  <c r="Z15" i="50"/>
  <c r="H14" i="151"/>
  <c r="Z7" i="50"/>
  <c r="H6" i="151"/>
  <c r="R51" i="8"/>
  <c r="P51" i="8"/>
  <c r="H13" i="95"/>
  <c r="AB14" i="50"/>
  <c r="AF14" i="50" s="1"/>
  <c r="S51" i="8"/>
  <c r="T43" i="8"/>
  <c r="S11" i="143" s="1"/>
  <c r="S24" i="143" s="1"/>
  <c r="T41" i="8"/>
  <c r="V8" i="8"/>
  <c r="V42" i="8" s="1"/>
  <c r="H14" i="95"/>
  <c r="AB15" i="50"/>
  <c r="AF15" i="50" s="1"/>
  <c r="Q51" i="8"/>
  <c r="E39" i="151"/>
  <c r="F12" i="151"/>
  <c r="F11" i="151"/>
  <c r="B39" i="151"/>
  <c r="T44" i="8"/>
  <c r="S12" i="143" s="1"/>
  <c r="S25" i="143" s="1"/>
  <c r="E38" i="151"/>
  <c r="B38" i="151"/>
  <c r="F39" i="151" l="1"/>
  <c r="H39" i="151" s="1"/>
  <c r="T51" i="143" s="1"/>
  <c r="E47" i="151"/>
  <c r="B47" i="151"/>
  <c r="Z12" i="50"/>
  <c r="H11" i="151"/>
  <c r="Z13" i="50"/>
  <c r="H12" i="151"/>
  <c r="Z11" i="50"/>
  <c r="S27" i="143"/>
  <c r="F38" i="151"/>
  <c r="V44" i="8"/>
  <c r="S14" i="143"/>
  <c r="T51" i="8"/>
  <c r="V41" i="8"/>
  <c r="V43" i="8"/>
  <c r="F47" i="151" l="1"/>
  <c r="T37" i="143"/>
  <c r="H38" i="151"/>
  <c r="Z39" i="50"/>
  <c r="Z8" i="53" s="1"/>
  <c r="Z10" i="53" s="1"/>
  <c r="T34" i="143"/>
  <c r="V51" i="8"/>
  <c r="T54" i="143" l="1"/>
  <c r="H47" i="151"/>
  <c r="AC32" i="50" l="1"/>
  <c r="AF32" i="50" s="1"/>
  <c r="AC30" i="50"/>
  <c r="AF30" i="50" s="1"/>
  <c r="AC29" i="50"/>
  <c r="AF29" i="50" s="1"/>
  <c r="AC28" i="50"/>
  <c r="AF28" i="50" s="1"/>
  <c r="AC19" i="50"/>
  <c r="AF19" i="50" s="1"/>
  <c r="AC18" i="50"/>
  <c r="AF18" i="50" s="1"/>
  <c r="AC13" i="50"/>
  <c r="AC12" i="50"/>
  <c r="AC10" i="50"/>
  <c r="AC9" i="50"/>
  <c r="AC8" i="50"/>
  <c r="G39" i="95" l="1"/>
  <c r="Q65" i="143" s="1"/>
  <c r="S65" i="143" s="1"/>
  <c r="AC7" i="50"/>
  <c r="G40" i="95"/>
  <c r="AC11" i="50"/>
  <c r="F9" i="95"/>
  <c r="V9" i="154"/>
  <c r="V18" i="154"/>
  <c r="H17" i="95"/>
  <c r="V30" i="154"/>
  <c r="H29" i="95"/>
  <c r="F6" i="95"/>
  <c r="V10" i="154"/>
  <c r="V19" i="154"/>
  <c r="H18" i="95"/>
  <c r="V32" i="154"/>
  <c r="V7" i="154"/>
  <c r="V12" i="154"/>
  <c r="V28" i="154"/>
  <c r="H27" i="95"/>
  <c r="V11" i="154"/>
  <c r="F11" i="95"/>
  <c r="V8" i="154"/>
  <c r="V13" i="154"/>
  <c r="V29" i="154"/>
  <c r="H28" i="95"/>
  <c r="F10" i="95"/>
  <c r="G38" i="95"/>
  <c r="Q67" i="143" s="1"/>
  <c r="S67" i="143" s="1"/>
  <c r="B40" i="95"/>
  <c r="B39" i="95" l="1"/>
  <c r="H10" i="95"/>
  <c r="AB11" i="50"/>
  <c r="AF11" i="50" s="1"/>
  <c r="G46" i="95"/>
  <c r="Q66" i="143"/>
  <c r="S66" i="143" s="1"/>
  <c r="V40" i="154"/>
  <c r="V39" i="154"/>
  <c r="H9" i="95"/>
  <c r="AB10" i="50"/>
  <c r="AF10" i="50" s="1"/>
  <c r="V41" i="154"/>
  <c r="H6" i="95"/>
  <c r="AB7" i="50"/>
  <c r="AF7" i="50" s="1"/>
  <c r="H11" i="95"/>
  <c r="AB12" i="50"/>
  <c r="AF12" i="50" s="1"/>
  <c r="F7" i="95"/>
  <c r="F8" i="95"/>
  <c r="F12" i="95"/>
  <c r="F40" i="95" l="1"/>
  <c r="Q62" i="143" s="1"/>
  <c r="S62" i="143" s="1"/>
  <c r="F39" i="95"/>
  <c r="Q61" i="143" s="1"/>
  <c r="S61" i="143" s="1"/>
  <c r="I43" i="8"/>
  <c r="F8" i="177"/>
  <c r="F8" i="223" s="1"/>
  <c r="F18" i="223" s="1"/>
  <c r="K43" i="8"/>
  <c r="H8" i="95"/>
  <c r="AB9" i="50"/>
  <c r="AF9" i="50" s="1"/>
  <c r="G8" i="177"/>
  <c r="G8" i="223" s="1"/>
  <c r="G18" i="223" s="1"/>
  <c r="H12" i="95"/>
  <c r="AB13" i="50"/>
  <c r="AF13" i="50" s="1"/>
  <c r="H7" i="95"/>
  <c r="AB8" i="50"/>
  <c r="AF8" i="50" s="1"/>
  <c r="E8" i="177"/>
  <c r="E8" i="223" l="1"/>
  <c r="E18" i="223" s="1"/>
  <c r="AF39" i="50"/>
  <c r="H40" i="95"/>
  <c r="Q71" i="143" s="1"/>
  <c r="S71" i="143" s="1"/>
  <c r="H39" i="95"/>
  <c r="M43" i="8"/>
  <c r="R11" i="143" s="1"/>
  <c r="R24" i="143" s="1"/>
  <c r="M8" i="8"/>
  <c r="M42" i="8" l="1"/>
  <c r="R10" i="143" s="1"/>
  <c r="R23" i="143" s="1"/>
  <c r="R27" i="143" s="1"/>
  <c r="O7" i="50"/>
  <c r="F24" i="223"/>
  <c r="G24" i="223"/>
  <c r="G8" i="220"/>
  <c r="F8" i="220"/>
  <c r="E24" i="223"/>
  <c r="E8" i="220"/>
  <c r="Q70" i="143"/>
  <c r="S70" i="143" s="1"/>
  <c r="M41" i="8"/>
  <c r="O8" i="8"/>
  <c r="O42" i="8" s="1"/>
  <c r="O43" i="8"/>
  <c r="E18" i="220" l="1"/>
  <c r="E24" i="220" s="1"/>
  <c r="F18" i="220"/>
  <c r="F24" i="220" s="1"/>
  <c r="G18" i="220"/>
  <c r="G24" i="220" s="1"/>
  <c r="O41" i="8"/>
  <c r="R14" i="143"/>
  <c r="M51" i="8"/>
  <c r="O51" i="8" l="1"/>
  <c r="AB40" i="64"/>
  <c r="V19" i="166" l="1"/>
  <c r="V28" i="167"/>
  <c r="F28" i="33" s="1"/>
  <c r="V22" i="167"/>
  <c r="V23" i="167"/>
  <c r="F23" i="33" s="1"/>
  <c r="V22" i="166"/>
  <c r="V20" i="167"/>
  <c r="F20" i="33" s="1"/>
  <c r="V19" i="167"/>
  <c r="F19" i="33" s="1"/>
  <c r="U40" i="64"/>
  <c r="N40" i="64"/>
  <c r="F22" i="33" l="1"/>
  <c r="V39" i="167"/>
  <c r="V39" i="166"/>
  <c r="BY40" i="64"/>
  <c r="F39" i="33" l="1"/>
  <c r="B18" i="50"/>
  <c r="D23" i="50"/>
  <c r="D22" i="50"/>
  <c r="B16" i="50" l="1"/>
  <c r="S40" i="64" l="1"/>
  <c r="BX17" i="64"/>
  <c r="BZ17" i="64" s="1"/>
  <c r="BX24" i="64"/>
  <c r="BZ24" i="64" s="1"/>
  <c r="BC14" i="64"/>
  <c r="BE14" i="64" s="1"/>
  <c r="I13" i="50" s="1"/>
  <c r="T16" i="64"/>
  <c r="V16" i="64" s="1"/>
  <c r="D15" i="50" s="1"/>
  <c r="BC13" i="64"/>
  <c r="BE13" i="64" s="1"/>
  <c r="I12" i="50" s="1"/>
  <c r="BC15" i="64"/>
  <c r="BE15" i="64" s="1"/>
  <c r="I14" i="50" s="1"/>
  <c r="BJ8" i="64"/>
  <c r="BL8" i="64" s="1"/>
  <c r="J7" i="50" s="1"/>
  <c r="AO13" i="64"/>
  <c r="BQ13" i="64"/>
  <c r="AJ13" i="64"/>
  <c r="T13" i="64"/>
  <c r="V13" i="64" s="1"/>
  <c r="D12" i="50" s="1"/>
  <c r="T14" i="64"/>
  <c r="V14" i="64" s="1"/>
  <c r="D13" i="50" s="1"/>
  <c r="D18" i="50"/>
  <c r="T15" i="64"/>
  <c r="V15" i="64" s="1"/>
  <c r="D14" i="50" s="1"/>
  <c r="M10" i="64"/>
  <c r="O10" i="64" s="1"/>
  <c r="C9" i="50" s="1"/>
  <c r="C22" i="50"/>
  <c r="T10" i="64"/>
  <c r="V10" i="64" s="1"/>
  <c r="D9" i="50" s="1"/>
  <c r="D19" i="50"/>
  <c r="AO10" i="64"/>
  <c r="G15" i="50"/>
  <c r="BC8" i="64"/>
  <c r="AC8" i="64"/>
  <c r="E7" i="50" s="1"/>
  <c r="AA13" i="64"/>
  <c r="AC13" i="64" s="1"/>
  <c r="E12" i="50" s="1"/>
  <c r="AA24" i="64"/>
  <c r="AC24" i="64" s="1"/>
  <c r="E23" i="50" s="1"/>
  <c r="L23" i="50" s="1"/>
  <c r="AJ14" i="64"/>
  <c r="M16" i="64"/>
  <c r="O16" i="64" s="1"/>
  <c r="C15" i="50" s="1"/>
  <c r="D20" i="50"/>
  <c r="L20" i="50" s="1"/>
  <c r="BC9" i="64"/>
  <c r="BE9" i="64" s="1"/>
  <c r="I8" i="50" s="1"/>
  <c r="BJ9" i="64"/>
  <c r="BL9" i="64" s="1"/>
  <c r="J8" i="50" s="1"/>
  <c r="BQ9" i="64"/>
  <c r="AA9" i="64"/>
  <c r="AC9" i="64" s="1"/>
  <c r="E8" i="50" s="1"/>
  <c r="AA14" i="64"/>
  <c r="AC14" i="64" s="1"/>
  <c r="E13" i="50" s="1"/>
  <c r="AC25" i="64"/>
  <c r="E24" i="50" s="1"/>
  <c r="L24" i="50" s="1"/>
  <c r="AJ15" i="64"/>
  <c r="F10" i="64"/>
  <c r="M8" i="64"/>
  <c r="M13" i="64"/>
  <c r="O13" i="64" s="1"/>
  <c r="C12" i="50" s="1"/>
  <c r="M17" i="64"/>
  <c r="T8" i="64"/>
  <c r="T17" i="64"/>
  <c r="D28" i="50"/>
  <c r="AO8" i="64"/>
  <c r="BC10" i="64"/>
  <c r="BE10" i="64" s="1"/>
  <c r="I9" i="50" s="1"/>
  <c r="BJ10" i="64"/>
  <c r="BL10" i="64" s="1"/>
  <c r="J9" i="50" s="1"/>
  <c r="BQ10" i="64"/>
  <c r="BQ15" i="64"/>
  <c r="AA10" i="64"/>
  <c r="AC10" i="64" s="1"/>
  <c r="E9" i="50" s="1"/>
  <c r="AA15" i="64"/>
  <c r="AC15" i="64" s="1"/>
  <c r="E14" i="50" s="1"/>
  <c r="AA20" i="64"/>
  <c r="AC20" i="64" s="1"/>
  <c r="E19" i="50" s="1"/>
  <c r="AC26" i="64"/>
  <c r="E25" i="50" s="1"/>
  <c r="L25" i="50" s="1"/>
  <c r="E29" i="50"/>
  <c r="L29" i="50" s="1"/>
  <c r="AJ12" i="64"/>
  <c r="AJ16" i="64"/>
  <c r="M15" i="64"/>
  <c r="O15" i="64" s="1"/>
  <c r="C14" i="50" s="1"/>
  <c r="AA17" i="64"/>
  <c r="E27" i="50"/>
  <c r="L27" i="50" s="1"/>
  <c r="AH9" i="64"/>
  <c r="M12" i="64"/>
  <c r="BQ14" i="64"/>
  <c r="AA19" i="64"/>
  <c r="AC19" i="64" s="1"/>
  <c r="E18" i="50" s="1"/>
  <c r="E28" i="50"/>
  <c r="AJ10" i="64"/>
  <c r="B15" i="50"/>
  <c r="F15" i="64"/>
  <c r="H15" i="64" s="1"/>
  <c r="B14" i="50" s="1"/>
  <c r="M9" i="64"/>
  <c r="O9" i="64" s="1"/>
  <c r="C8" i="50" s="1"/>
  <c r="M14" i="64"/>
  <c r="O14" i="64" s="1"/>
  <c r="C13" i="50" s="1"/>
  <c r="C19" i="50"/>
  <c r="T9" i="64"/>
  <c r="V9" i="64" s="1"/>
  <c r="D8" i="50" s="1"/>
  <c r="AO9" i="64"/>
  <c r="AO14" i="64"/>
  <c r="BE12" i="64"/>
  <c r="BQ16" i="64"/>
  <c r="AA16" i="64"/>
  <c r="AC16" i="64" s="1"/>
  <c r="E15" i="50" s="1"/>
  <c r="AA23" i="64"/>
  <c r="AC23" i="64" s="1"/>
  <c r="E22" i="50" s="1"/>
  <c r="AC27" i="64"/>
  <c r="E26" i="50" s="1"/>
  <c r="L26" i="50" s="1"/>
  <c r="AJ17" i="64"/>
  <c r="AE40" i="64"/>
  <c r="AG40" i="64"/>
  <c r="AF40" i="64"/>
  <c r="AD40" i="64"/>
  <c r="X40" i="64"/>
  <c r="Z40" i="64"/>
  <c r="Y40" i="64"/>
  <c r="AY40" i="64"/>
  <c r="BF40" i="64"/>
  <c r="BH40" i="64"/>
  <c r="AZ40" i="64"/>
  <c r="BA40" i="64"/>
  <c r="AK40" i="64"/>
  <c r="P40" i="64"/>
  <c r="R40" i="64"/>
  <c r="Q40" i="64"/>
  <c r="L40" i="64"/>
  <c r="J40" i="64"/>
  <c r="K40" i="64"/>
  <c r="I40" i="64"/>
  <c r="F14" i="64"/>
  <c r="F9" i="64"/>
  <c r="AQ10" i="64" l="1"/>
  <c r="AQ14" i="64"/>
  <c r="AQ9" i="64"/>
  <c r="AQ13" i="64"/>
  <c r="F16" i="50"/>
  <c r="F12" i="50"/>
  <c r="F9" i="50"/>
  <c r="F18" i="50"/>
  <c r="L18" i="50" s="1"/>
  <c r="F13" i="50"/>
  <c r="F15" i="50"/>
  <c r="F14" i="50"/>
  <c r="BS14" i="64"/>
  <c r="K13" i="50" s="1"/>
  <c r="BS16" i="64"/>
  <c r="K15" i="50" s="1"/>
  <c r="BS15" i="64"/>
  <c r="K14" i="50" s="1"/>
  <c r="BS13" i="64"/>
  <c r="K12" i="50" s="1"/>
  <c r="BS10" i="64"/>
  <c r="K9" i="50" s="1"/>
  <c r="BX23" i="64"/>
  <c r="BZ23" i="64" s="1"/>
  <c r="BZ25" i="64"/>
  <c r="BZ26" i="64"/>
  <c r="BZ27" i="64"/>
  <c r="BX21" i="64"/>
  <c r="BZ21" i="64" s="1"/>
  <c r="BX19" i="64"/>
  <c r="BZ19" i="64" s="1"/>
  <c r="BX14" i="64"/>
  <c r="BZ14" i="64" s="1"/>
  <c r="BX16" i="64"/>
  <c r="BZ16" i="64" s="1"/>
  <c r="BX13" i="64"/>
  <c r="BZ13" i="64" s="1"/>
  <c r="BX15" i="64"/>
  <c r="BZ15" i="64" s="1"/>
  <c r="L22" i="50"/>
  <c r="BX20" i="64"/>
  <c r="BZ20" i="64" s="1"/>
  <c r="F11" i="50"/>
  <c r="L28" i="50"/>
  <c r="L19" i="50"/>
  <c r="I11" i="50"/>
  <c r="H9" i="64"/>
  <c r="V17" i="64"/>
  <c r="H14" i="64"/>
  <c r="O12" i="64"/>
  <c r="AC17" i="64"/>
  <c r="AC40" i="64" s="1"/>
  <c r="T3" i="143" s="1"/>
  <c r="O17" i="64"/>
  <c r="H10" i="64"/>
  <c r="BS9" i="64"/>
  <c r="K8" i="50" s="1"/>
  <c r="AH40" i="64"/>
  <c r="AJ9" i="64"/>
  <c r="AQ8" i="64"/>
  <c r="AO40" i="64"/>
  <c r="AA40" i="64"/>
  <c r="BJ40" i="64"/>
  <c r="BE8" i="64"/>
  <c r="BC40" i="64"/>
  <c r="BX10" i="64"/>
  <c r="BZ10" i="64" s="1"/>
  <c r="O8" i="64"/>
  <c r="M40" i="64"/>
  <c r="V8" i="64"/>
  <c r="T40" i="64"/>
  <c r="BX9" i="64"/>
  <c r="BZ9" i="64" s="1"/>
  <c r="BL40" i="64"/>
  <c r="Y3" i="143" s="1"/>
  <c r="G12" i="50" l="1"/>
  <c r="G13" i="50"/>
  <c r="G8" i="50"/>
  <c r="G9" i="50"/>
  <c r="L12" i="50"/>
  <c r="L14" i="50"/>
  <c r="L15" i="50"/>
  <c r="V40" i="64"/>
  <c r="S3" i="143" s="1"/>
  <c r="D7" i="50"/>
  <c r="BE40" i="64"/>
  <c r="X3" i="143" s="1"/>
  <c r="I7" i="50"/>
  <c r="B9" i="50"/>
  <c r="D16" i="50"/>
  <c r="AQ40" i="64"/>
  <c r="V3" i="143" s="1"/>
  <c r="G7" i="50"/>
  <c r="C16" i="50"/>
  <c r="B8" i="50"/>
  <c r="C11" i="50"/>
  <c r="L11" i="50" s="1"/>
  <c r="O40" i="64"/>
  <c r="R3" i="143" s="1"/>
  <c r="C7" i="50"/>
  <c r="AJ40" i="64"/>
  <c r="U3" i="143" s="1"/>
  <c r="F8" i="50"/>
  <c r="E16" i="50"/>
  <c r="B13" i="50"/>
  <c r="L13" i="50" l="1"/>
  <c r="L9" i="50"/>
  <c r="L16" i="50"/>
  <c r="L8" i="50"/>
  <c r="BW40" i="64"/>
  <c r="C40" i="64"/>
  <c r="BU40" i="64"/>
  <c r="D40" i="64"/>
  <c r="BV40" i="64"/>
  <c r="E40" i="64"/>
  <c r="F8" i="64" l="1"/>
  <c r="F40" i="64" s="1"/>
  <c r="B40" i="64"/>
  <c r="H8" i="64" l="1"/>
  <c r="B7" i="50" l="1"/>
  <c r="H40" i="64"/>
  <c r="Q3" i="143" s="1"/>
  <c r="C38" i="95" l="1"/>
  <c r="E38" i="95"/>
  <c r="C38" i="96"/>
  <c r="C47" i="96" s="1"/>
  <c r="D38" i="96"/>
  <c r="D47" i="96" s="1"/>
  <c r="D38" i="95"/>
  <c r="J41" i="8"/>
  <c r="L41" i="8"/>
  <c r="E46" i="95" l="1"/>
  <c r="L51" i="8"/>
  <c r="D46" i="95"/>
  <c r="J51" i="8"/>
  <c r="B38" i="95" l="1"/>
  <c r="F38" i="95"/>
  <c r="H38" i="96"/>
  <c r="H47" i="96" s="1"/>
  <c r="K41" i="8"/>
  <c r="F38" i="96"/>
  <c r="F47" i="96" s="1"/>
  <c r="E38" i="96"/>
  <c r="E47" i="96" s="1"/>
  <c r="I41" i="8"/>
  <c r="B46" i="95" l="1"/>
  <c r="K51" i="8"/>
  <c r="Q63" i="143"/>
  <c r="S63" i="143" s="1"/>
  <c r="F46" i="95"/>
  <c r="I51" i="8"/>
  <c r="R37" i="143"/>
  <c r="R54" i="143"/>
  <c r="A10" i="120" l="1"/>
  <c r="A11" i="120" s="1"/>
  <c r="A12" i="120" s="1"/>
  <c r="A13" i="120" s="1"/>
  <c r="A14" i="120" l="1"/>
  <c r="A15" i="120" s="1"/>
  <c r="A16" i="120" s="1"/>
  <c r="A17" i="120" s="1"/>
  <c r="A18" i="120" s="1"/>
  <c r="A19" i="120" s="1"/>
  <c r="A20" i="120" s="1"/>
  <c r="A21" i="120" s="1"/>
  <c r="A22" i="120" s="1"/>
  <c r="A23" i="120" s="1"/>
  <c r="A24" i="120" l="1"/>
  <c r="A25" i="120" s="1"/>
  <c r="A26" i="120" s="1"/>
  <c r="A27" i="120" s="1"/>
  <c r="A28" i="120" s="1"/>
  <c r="A29" i="120" s="1"/>
  <c r="A30" i="120" s="1"/>
  <c r="A31" i="120" s="1"/>
  <c r="A32" i="120" s="1"/>
  <c r="A33" i="120" s="1"/>
  <c r="A34" i="120" s="1"/>
  <c r="A35" i="120" s="1"/>
  <c r="E8" i="184"/>
  <c r="G8" i="184"/>
  <c r="M8" i="184"/>
  <c r="C8" i="184"/>
  <c r="I8" i="184"/>
  <c r="K8" i="184"/>
  <c r="L8" i="184"/>
  <c r="H8" i="184"/>
  <c r="G8" i="194"/>
  <c r="I8" i="194"/>
  <c r="F8" i="194"/>
  <c r="G8" i="180"/>
  <c r="E8" i="180"/>
  <c r="F8" i="180"/>
  <c r="A36" i="120" l="1"/>
  <c r="A38" i="120" s="1"/>
  <c r="A40" i="120" s="1"/>
  <c r="A42" i="120" s="1"/>
  <c r="A44" i="120" s="1"/>
  <c r="A45" i="120" s="1"/>
  <c r="A46" i="120" s="1"/>
  <c r="A47" i="120" s="1"/>
  <c r="A48" i="120" s="1"/>
  <c r="A49" i="120" s="1"/>
  <c r="A50" i="120" s="1"/>
  <c r="A51" i="120" s="1"/>
  <c r="A52" i="120" s="1"/>
  <c r="A53" i="120" s="1"/>
  <c r="A54" i="120" s="1"/>
  <c r="A55" i="120" s="1"/>
  <c r="A37" i="120"/>
  <c r="A39" i="120" s="1"/>
  <c r="A41" i="120" s="1"/>
  <c r="A43" i="120" s="1"/>
  <c r="O52" i="143" l="1"/>
  <c r="O53" i="143"/>
  <c r="O42" i="143"/>
  <c r="O48" i="143"/>
  <c r="F7" i="50"/>
  <c r="D39" i="50" l="1"/>
  <c r="D8" i="53" s="1"/>
  <c r="D10" i="53" s="1"/>
  <c r="W39" i="50"/>
  <c r="AC39" i="50"/>
  <c r="C39" i="50"/>
  <c r="C8" i="53" s="1"/>
  <c r="C10" i="53" s="1"/>
  <c r="I39" i="50"/>
  <c r="I8" i="53" s="1"/>
  <c r="I10" i="53" s="1"/>
  <c r="V39" i="50"/>
  <c r="B39" i="50"/>
  <c r="B8" i="53" s="1"/>
  <c r="P39" i="50"/>
  <c r="P8" i="53" s="1"/>
  <c r="P10" i="53" s="1"/>
  <c r="E39" i="50"/>
  <c r="E8" i="53" s="1"/>
  <c r="E10" i="53" s="1"/>
  <c r="J39" i="50"/>
  <c r="J8" i="53" s="1"/>
  <c r="J10" i="53" s="1"/>
  <c r="G39" i="50"/>
  <c r="G8" i="53" s="1"/>
  <c r="G10" i="53" s="1"/>
  <c r="F39" i="50"/>
  <c r="F8" i="53" s="1"/>
  <c r="F10" i="53" s="1"/>
  <c r="O39" i="50"/>
  <c r="O8" i="53" s="1"/>
  <c r="B10" i="53" l="1"/>
  <c r="AC8" i="53"/>
  <c r="AC10" i="53" s="1"/>
  <c r="V8" i="53"/>
  <c r="V10" i="53" s="1"/>
  <c r="W8" i="53"/>
  <c r="W10" i="53" s="1"/>
  <c r="O10" i="53"/>
  <c r="W22" i="55"/>
  <c r="V22" i="55"/>
  <c r="AC22" i="55"/>
  <c r="H38" i="95" l="1"/>
  <c r="AB39" i="50"/>
  <c r="AB8" i="53" l="1"/>
  <c r="Q72" i="143"/>
  <c r="S72" i="143" s="1"/>
  <c r="H46" i="95"/>
  <c r="AB22" i="55"/>
  <c r="AB10" i="53" l="1"/>
  <c r="AF8" i="53"/>
  <c r="AF10" i="53" s="1"/>
  <c r="AE24" i="53" s="1"/>
  <c r="AE56" i="53" s="1"/>
  <c r="AD28" i="53" l="1"/>
  <c r="AD60" i="53" s="1"/>
  <c r="AD30" i="53"/>
  <c r="AD62" i="53" s="1"/>
  <c r="AD24" i="53"/>
  <c r="AD56" i="53" s="1"/>
  <c r="AD22" i="53"/>
  <c r="AD54" i="53" s="1"/>
  <c r="AD40" i="53"/>
  <c r="AD72" i="53" s="1"/>
  <c r="AE38" i="53"/>
  <c r="AE70" i="53" s="1"/>
  <c r="AC30" i="53"/>
  <c r="AC62" i="53" s="1"/>
  <c r="AD16" i="53"/>
  <c r="AD48" i="53" s="1"/>
  <c r="AE16" i="53"/>
  <c r="AE48" i="53" s="1"/>
  <c r="AE36" i="53"/>
  <c r="AE68" i="53" s="1"/>
  <c r="AE32" i="53"/>
  <c r="AE64" i="53" s="1"/>
  <c r="AE26" i="53"/>
  <c r="AE58" i="53" s="1"/>
  <c r="AD36" i="53"/>
  <c r="AD68" i="53" s="1"/>
  <c r="AD32" i="53"/>
  <c r="AD64" i="53" s="1"/>
  <c r="AE30" i="53"/>
  <c r="AE62" i="53" s="1"/>
  <c r="AD14" i="53"/>
  <c r="AD46" i="53" s="1"/>
  <c r="AD26" i="53"/>
  <c r="AD58" i="53" s="1"/>
  <c r="AD34" i="53"/>
  <c r="AD66" i="53" s="1"/>
  <c r="AB30" i="53"/>
  <c r="AB62" i="53" s="1"/>
  <c r="AD38" i="53"/>
  <c r="AD70" i="53" s="1"/>
  <c r="AE40" i="53"/>
  <c r="AE72" i="53" s="1"/>
  <c r="AE20" i="53"/>
  <c r="AE52" i="53" s="1"/>
  <c r="AE18" i="53"/>
  <c r="AE50" i="53" s="1"/>
  <c r="AE22" i="53"/>
  <c r="AE54" i="53" s="1"/>
  <c r="AE14" i="53"/>
  <c r="AE46" i="53" s="1"/>
  <c r="AE28" i="53"/>
  <c r="AE60" i="53" s="1"/>
  <c r="AD20" i="53"/>
  <c r="AD52" i="53" s="1"/>
  <c r="AE34" i="53"/>
  <c r="AE66" i="53" s="1"/>
  <c r="AD18" i="53"/>
  <c r="AD50" i="53" s="1"/>
  <c r="O51" i="143"/>
  <c r="O54" i="143" s="1"/>
  <c r="AD74" i="53" l="1"/>
  <c r="AD76" i="53" s="1"/>
  <c r="AE74" i="53"/>
  <c r="AE76" i="53" s="1"/>
  <c r="O37" i="143"/>
  <c r="BQ8" i="64" l="1"/>
  <c r="BQ40" i="64" s="1"/>
  <c r="BM40" i="64"/>
  <c r="BS8" i="64" l="1"/>
  <c r="BS40" i="64" s="1"/>
  <c r="BX8" i="64"/>
  <c r="BT40" i="64"/>
  <c r="Z3" i="143" l="1"/>
  <c r="AA3" i="143" s="1"/>
  <c r="K7" i="50"/>
  <c r="L7" i="50" s="1"/>
  <c r="BZ8" i="64"/>
  <c r="BZ40" i="64" s="1"/>
  <c r="BX40" i="64"/>
  <c r="K39" i="50" l="1"/>
  <c r="K8" i="53" s="1"/>
  <c r="L39" i="50"/>
  <c r="K10" i="53" l="1"/>
  <c r="L8" i="53"/>
  <c r="L10" i="53" l="1"/>
  <c r="B36" i="53" s="1"/>
  <c r="E30" i="53" l="1"/>
  <c r="E62" i="53" s="1"/>
  <c r="K30" i="53"/>
  <c r="K62" i="53" s="1"/>
  <c r="H20" i="53"/>
  <c r="H52" i="53" s="1"/>
  <c r="H24" i="53"/>
  <c r="H56" i="53" s="1"/>
  <c r="B30" i="53"/>
  <c r="B62" i="53" s="1"/>
  <c r="H36" i="53"/>
  <c r="H68" i="53" s="1"/>
  <c r="H34" i="53"/>
  <c r="H66" i="53" s="1"/>
  <c r="G30" i="53"/>
  <c r="G62" i="53" s="1"/>
  <c r="H28" i="53"/>
  <c r="H60" i="53" s="1"/>
  <c r="H30" i="53"/>
  <c r="H62" i="53" s="1"/>
  <c r="F30" i="53"/>
  <c r="F62" i="53" s="1"/>
  <c r="J30" i="53"/>
  <c r="J62" i="53" s="1"/>
  <c r="I30" i="53"/>
  <c r="I62" i="53" s="1"/>
  <c r="H40" i="53"/>
  <c r="H72" i="53" s="1"/>
  <c r="H32" i="53"/>
  <c r="H64" i="53" s="1"/>
  <c r="H14" i="53"/>
  <c r="H46" i="53" s="1"/>
  <c r="H38" i="53"/>
  <c r="H70" i="53" s="1"/>
  <c r="C30" i="53"/>
  <c r="C62" i="53" s="1"/>
  <c r="D30" i="53"/>
  <c r="D62" i="53" s="1"/>
  <c r="H18" i="53"/>
  <c r="H50" i="53" s="1"/>
  <c r="H26" i="53"/>
  <c r="H58" i="53" s="1"/>
  <c r="H16" i="53"/>
  <c r="H48" i="53" s="1"/>
  <c r="H22" i="53"/>
  <c r="H54" i="53" s="1"/>
  <c r="AH74" i="53"/>
  <c r="H74" i="53" l="1"/>
  <c r="H42" i="53" s="1"/>
  <c r="AD42" i="53"/>
  <c r="AE42" i="53"/>
  <c r="A15" i="217"/>
  <c r="H76" i="53" l="1"/>
  <c r="H32" i="42" s="1"/>
  <c r="H34" i="196" s="1"/>
  <c r="B20" i="217"/>
  <c r="B26" i="217" s="1"/>
  <c r="A16" i="202"/>
  <c r="A15" i="194"/>
  <c r="A15" i="187"/>
  <c r="A15" i="184"/>
  <c r="A15" i="180"/>
  <c r="A15" i="177"/>
  <c r="A16" i="201"/>
  <c r="A15" i="189"/>
  <c r="A16" i="198"/>
  <c r="A15" i="192"/>
  <c r="A15" i="191"/>
  <c r="A16" i="174"/>
  <c r="A16" i="175"/>
  <c r="A16" i="199"/>
  <c r="A15" i="190"/>
  <c r="A15" i="196"/>
  <c r="A15" i="193"/>
  <c r="A15" i="42"/>
  <c r="E18" i="177" l="1"/>
  <c r="E24" i="177" s="1"/>
  <c r="F18" i="177"/>
  <c r="F24" i="177" s="1"/>
  <c r="G18" i="177"/>
  <c r="G24" i="177" s="1"/>
  <c r="I18" i="194"/>
  <c r="I24" i="194" s="1"/>
  <c r="G18" i="194"/>
  <c r="G24" i="194" s="1"/>
  <c r="F18" i="194"/>
  <c r="F24" i="194" s="1"/>
  <c r="G18" i="193"/>
  <c r="G24" i="193" s="1"/>
  <c r="L18" i="193"/>
  <c r="L24" i="193" s="1"/>
  <c r="H18" i="193"/>
  <c r="H24" i="193" s="1"/>
  <c r="M18" i="193"/>
  <c r="M24" i="193" s="1"/>
  <c r="I18" i="193"/>
  <c r="I24" i="193" s="1"/>
  <c r="K18" i="193"/>
  <c r="K24" i="193" s="1"/>
  <c r="E18" i="193"/>
  <c r="C18" i="193"/>
  <c r="C24" i="193" s="1"/>
  <c r="G18" i="180"/>
  <c r="G24" i="180" s="1"/>
  <c r="F18" i="180"/>
  <c r="F24" i="180" s="1"/>
  <c r="E18" i="180"/>
  <c r="E24" i="180" s="1"/>
  <c r="H21" i="42"/>
  <c r="H27" i="42" s="1"/>
  <c r="H21" i="196"/>
  <c r="L18" i="184"/>
  <c r="L24" i="184" s="1"/>
  <c r="G18" i="184"/>
  <c r="G24" i="184" s="1"/>
  <c r="K18" i="184"/>
  <c r="K24" i="184" s="1"/>
  <c r="E18" i="184"/>
  <c r="E24" i="184" s="1"/>
  <c r="I18" i="184"/>
  <c r="I24" i="184" s="1"/>
  <c r="H18" i="184"/>
  <c r="H24" i="184" s="1"/>
  <c r="C18" i="184"/>
  <c r="C24" i="184" s="1"/>
  <c r="M18" i="184"/>
  <c r="M24" i="184" s="1"/>
  <c r="I18" i="187"/>
  <c r="I24" i="187" s="1"/>
  <c r="F18" i="187"/>
  <c r="F24" i="187" s="1"/>
  <c r="G18" i="187"/>
  <c r="G24" i="187" s="1"/>
  <c r="E24" i="193"/>
  <c r="Z7" i="159" l="1"/>
  <c r="U7" i="50"/>
  <c r="V15" i="159"/>
  <c r="V13" i="159"/>
  <c r="T20" i="50"/>
  <c r="F19" i="157"/>
  <c r="S20" i="50" s="1"/>
  <c r="V9" i="159"/>
  <c r="T16" i="50"/>
  <c r="T11" i="50"/>
  <c r="T18" i="50"/>
  <c r="T21" i="50"/>
  <c r="T22" i="50"/>
  <c r="T23" i="50"/>
  <c r="V28" i="159"/>
  <c r="V31" i="159"/>
  <c r="V35" i="159"/>
  <c r="T27" i="50"/>
  <c r="T29" i="50"/>
  <c r="F22" i="157"/>
  <c r="S23" i="50" s="1"/>
  <c r="E39" i="157"/>
  <c r="U33" i="50"/>
  <c r="Z33" i="159"/>
  <c r="U15" i="50"/>
  <c r="Z15" i="159"/>
  <c r="U23" i="50"/>
  <c r="Z23" i="159"/>
  <c r="U31" i="50"/>
  <c r="Z31" i="159"/>
  <c r="Z14" i="159"/>
  <c r="U14" i="50"/>
  <c r="Z22" i="159"/>
  <c r="U22" i="50"/>
  <c r="U30" i="50"/>
  <c r="Z30" i="159"/>
  <c r="V24" i="159"/>
  <c r="T24" i="50"/>
  <c r="T33" i="50"/>
  <c r="V33" i="159"/>
  <c r="F27" i="157"/>
  <c r="S28" i="50" s="1"/>
  <c r="Z19" i="159"/>
  <c r="U19" i="50"/>
  <c r="Z27" i="159"/>
  <c r="U27" i="50"/>
  <c r="F30" i="157"/>
  <c r="V11" i="159"/>
  <c r="T25" i="50"/>
  <c r="V25" i="159"/>
  <c r="V32" i="159"/>
  <c r="Z9" i="159"/>
  <c r="U9" i="50"/>
  <c r="U13" i="50"/>
  <c r="Z13" i="159"/>
  <c r="U17" i="50"/>
  <c r="Z17" i="159"/>
  <c r="Z21" i="159"/>
  <c r="H40" i="157"/>
  <c r="Q46" i="143" s="1"/>
  <c r="U21" i="50"/>
  <c r="U25" i="50"/>
  <c r="Z25" i="159"/>
  <c r="U29" i="50"/>
  <c r="Z29" i="159"/>
  <c r="F32" i="157"/>
  <c r="E40" i="157"/>
  <c r="F28" i="157"/>
  <c r="E38" i="157"/>
  <c r="H38" i="157"/>
  <c r="U11" i="50"/>
  <c r="Z11" i="159"/>
  <c r="F26" i="157"/>
  <c r="H41" i="157"/>
  <c r="Q47" i="143" s="1"/>
  <c r="Z35" i="159"/>
  <c r="U35" i="50"/>
  <c r="F25" i="157"/>
  <c r="F33" i="157"/>
  <c r="U8" i="50"/>
  <c r="Z8" i="159"/>
  <c r="U16" i="50"/>
  <c r="Z16" i="159"/>
  <c r="U32" i="50"/>
  <c r="Z32" i="159"/>
  <c r="F17" i="157"/>
  <c r="S18" i="50" s="1"/>
  <c r="Z12" i="159"/>
  <c r="U12" i="50"/>
  <c r="Z20" i="159"/>
  <c r="U20" i="50"/>
  <c r="Z24" i="159"/>
  <c r="U24" i="50"/>
  <c r="U28" i="50"/>
  <c r="Z28" i="159"/>
  <c r="F31" i="157"/>
  <c r="T26" i="50"/>
  <c r="H39" i="157"/>
  <c r="Q45" i="143" s="1"/>
  <c r="U10" i="50"/>
  <c r="Z10" i="159"/>
  <c r="U18" i="50"/>
  <c r="Z18" i="159"/>
  <c r="U26" i="50"/>
  <c r="Z26" i="159"/>
  <c r="F29" i="157"/>
  <c r="Z34" i="159"/>
  <c r="U34" i="50"/>
  <c r="D40" i="157"/>
  <c r="F18" i="157"/>
  <c r="S19" i="50" s="1"/>
  <c r="F20" i="157"/>
  <c r="F21" i="157"/>
  <c r="F23" i="157"/>
  <c r="I23" i="157" s="1"/>
  <c r="D38" i="157"/>
  <c r="C38" i="157"/>
  <c r="F15" i="157"/>
  <c r="D39" i="157"/>
  <c r="C39" i="157"/>
  <c r="F24" i="157"/>
  <c r="I24" i="157" s="1"/>
  <c r="C40" i="157"/>
  <c r="F16" i="157"/>
  <c r="F6" i="157"/>
  <c r="F12" i="157"/>
  <c r="B39" i="157"/>
  <c r="F11" i="157"/>
  <c r="B38" i="157"/>
  <c r="F7" i="157"/>
  <c r="F8" i="157"/>
  <c r="F13" i="157"/>
  <c r="F9" i="157"/>
  <c r="F10" i="157"/>
  <c r="F14" i="157"/>
  <c r="S7" i="50" l="1"/>
  <c r="F39" i="157"/>
  <c r="Q34" i="143" s="1"/>
  <c r="U34" i="143" s="1"/>
  <c r="F40" i="157"/>
  <c r="Q35" i="143" s="1"/>
  <c r="U35" i="143" s="1"/>
  <c r="C47" i="157"/>
  <c r="B47" i="157"/>
  <c r="Q48" i="143"/>
  <c r="H47" i="157"/>
  <c r="D47" i="157"/>
  <c r="E47" i="157"/>
  <c r="T14" i="50"/>
  <c r="T13" i="50"/>
  <c r="V14" i="159"/>
  <c r="I34" i="157"/>
  <c r="I41" i="157" s="1"/>
  <c r="Q53" i="143" s="1"/>
  <c r="T19" i="50"/>
  <c r="AA19" i="50" s="1"/>
  <c r="AH19" i="50" s="1"/>
  <c r="T15" i="50"/>
  <c r="T32" i="50"/>
  <c r="T35" i="50"/>
  <c r="V34" i="159"/>
  <c r="T17" i="50"/>
  <c r="T31" i="50"/>
  <c r="V30" i="159"/>
  <c r="V7" i="159"/>
  <c r="I19" i="157"/>
  <c r="T8" i="50"/>
  <c r="V19" i="159"/>
  <c r="V16" i="159"/>
  <c r="V20" i="159"/>
  <c r="V22" i="159"/>
  <c r="V8" i="159"/>
  <c r="G38" i="157"/>
  <c r="V12" i="159"/>
  <c r="V29" i="159"/>
  <c r="T34" i="50"/>
  <c r="V23" i="159"/>
  <c r="T9" i="50"/>
  <c r="T10" i="50"/>
  <c r="G41" i="157"/>
  <c r="Q41" i="143" s="1"/>
  <c r="U41" i="143" s="1"/>
  <c r="I20" i="157"/>
  <c r="T28" i="50"/>
  <c r="G39" i="157"/>
  <c r="Q39" i="143" s="1"/>
  <c r="V21" i="159"/>
  <c r="T12" i="50"/>
  <c r="V10" i="159"/>
  <c r="I17" i="157"/>
  <c r="V18" i="159"/>
  <c r="I22" i="157"/>
  <c r="I15" i="157"/>
  <c r="I21" i="157"/>
  <c r="V26" i="159"/>
  <c r="G40" i="157"/>
  <c r="Q40" i="143" s="1"/>
  <c r="V27" i="159"/>
  <c r="T30" i="50"/>
  <c r="I16" i="157"/>
  <c r="T7" i="50"/>
  <c r="V17" i="159"/>
  <c r="I18" i="157"/>
  <c r="S24" i="50"/>
  <c r="AA24" i="50" s="1"/>
  <c r="AH24" i="50" s="1"/>
  <c r="AA20" i="50"/>
  <c r="AH20" i="50" s="1"/>
  <c r="S21" i="50"/>
  <c r="AA21" i="50" s="1"/>
  <c r="AH21" i="50" s="1"/>
  <c r="Z40" i="159"/>
  <c r="J8" i="191" s="1"/>
  <c r="J18" i="191" s="1"/>
  <c r="U39" i="50"/>
  <c r="I27" i="157"/>
  <c r="S32" i="50"/>
  <c r="I31" i="157"/>
  <c r="Z42" i="159"/>
  <c r="L8" i="191" s="1"/>
  <c r="L18" i="191" s="1"/>
  <c r="L24" i="191" s="1"/>
  <c r="S29" i="50"/>
  <c r="I28" i="157"/>
  <c r="S34" i="50"/>
  <c r="I33" i="157"/>
  <c r="S22" i="50"/>
  <c r="AA22" i="50" s="1"/>
  <c r="AH22" i="50" s="1"/>
  <c r="Z39" i="159"/>
  <c r="I26" i="157"/>
  <c r="S27" i="50"/>
  <c r="Z41" i="159"/>
  <c r="S31" i="50"/>
  <c r="I30" i="157"/>
  <c r="AD35" i="159"/>
  <c r="V42" i="159"/>
  <c r="AA18" i="50"/>
  <c r="AH18" i="50" s="1"/>
  <c r="S30" i="50"/>
  <c r="I29" i="157"/>
  <c r="S26" i="50"/>
  <c r="AA26" i="50" s="1"/>
  <c r="AH26" i="50" s="1"/>
  <c r="I25" i="157"/>
  <c r="S33" i="50"/>
  <c r="I32" i="157"/>
  <c r="S25" i="50"/>
  <c r="S17" i="50"/>
  <c r="S16" i="50"/>
  <c r="AA16" i="50" s="1"/>
  <c r="I6" i="157"/>
  <c r="I9" i="157"/>
  <c r="S10" i="50"/>
  <c r="F38" i="157"/>
  <c r="S8" i="50"/>
  <c r="I7" i="157"/>
  <c r="I14" i="157"/>
  <c r="S15" i="50"/>
  <c r="S12" i="50"/>
  <c r="I11" i="157"/>
  <c r="S13" i="50"/>
  <c r="I12" i="157"/>
  <c r="I10" i="157"/>
  <c r="S11" i="50"/>
  <c r="AA11" i="50" s="1"/>
  <c r="I13" i="157"/>
  <c r="S14" i="50"/>
  <c r="I8" i="157"/>
  <c r="S9" i="50"/>
  <c r="U22" i="55" l="1"/>
  <c r="U8" i="53"/>
  <c r="U10" i="53" s="1"/>
  <c r="L8" i="192"/>
  <c r="L18" i="192" s="1"/>
  <c r="Q37" i="143"/>
  <c r="U37" i="143" s="1"/>
  <c r="F47" i="157"/>
  <c r="Q42" i="143"/>
  <c r="G47" i="157"/>
  <c r="J8" i="192"/>
  <c r="J18" i="192" s="1"/>
  <c r="AA31" i="50"/>
  <c r="AH31" i="50" s="1"/>
  <c r="AA14" i="50"/>
  <c r="AA15" i="50"/>
  <c r="AA13" i="50"/>
  <c r="AA12" i="50"/>
  <c r="AA10" i="50"/>
  <c r="AA32" i="50"/>
  <c r="AH32" i="50" s="1"/>
  <c r="AA8" i="50"/>
  <c r="AA9" i="50"/>
  <c r="V39" i="159"/>
  <c r="T39" i="50"/>
  <c r="V40" i="159"/>
  <c r="F8" i="191" s="1"/>
  <c r="F18" i="191" s="1"/>
  <c r="V41" i="159"/>
  <c r="I40" i="157"/>
  <c r="Q52" i="143" s="1"/>
  <c r="K8" i="191"/>
  <c r="K18" i="191" s="1"/>
  <c r="M8" i="191"/>
  <c r="M18" i="191" s="1"/>
  <c r="H8" i="191"/>
  <c r="H18" i="191" s="1"/>
  <c r="J24" i="191"/>
  <c r="AD42" i="159"/>
  <c r="I39" i="157"/>
  <c r="Q51" i="143" s="1"/>
  <c r="I38" i="157"/>
  <c r="S39" i="50"/>
  <c r="T8" i="53" l="1"/>
  <c r="T10" i="53" s="1"/>
  <c r="S8" i="53"/>
  <c r="T22" i="55"/>
  <c r="H8" i="221"/>
  <c r="H18" i="221" s="1"/>
  <c r="F24" i="191"/>
  <c r="I47" i="157"/>
  <c r="M8" i="192"/>
  <c r="M18" i="192" s="1"/>
  <c r="F8" i="192"/>
  <c r="F18" i="192" s="1"/>
  <c r="H8" i="192"/>
  <c r="H18" i="192" s="1"/>
  <c r="K8" i="192"/>
  <c r="K18" i="192" s="1"/>
  <c r="G8" i="191"/>
  <c r="G18" i="191" s="1"/>
  <c r="I8" i="191"/>
  <c r="I18" i="191" s="1"/>
  <c r="J24" i="192"/>
  <c r="P8" i="191"/>
  <c r="P18" i="191" s="1"/>
  <c r="H24" i="191"/>
  <c r="M24" i="191"/>
  <c r="K24" i="191"/>
  <c r="S22" i="55"/>
  <c r="Q54" i="143"/>
  <c r="S10" i="53" l="1"/>
  <c r="L24" i="192"/>
  <c r="I24" i="191"/>
  <c r="P24" i="191"/>
  <c r="G24" i="191"/>
  <c r="F24" i="192"/>
  <c r="P8" i="192"/>
  <c r="P18" i="192" s="1"/>
  <c r="G8" i="192"/>
  <c r="G18" i="192" s="1"/>
  <c r="H24" i="221"/>
  <c r="H8" i="222"/>
  <c r="I8" i="192"/>
  <c r="I18" i="192" s="1"/>
  <c r="H18" i="222" l="1"/>
  <c r="H24" i="222" s="1"/>
  <c r="H24" i="192"/>
  <c r="K24" i="192"/>
  <c r="P24" i="192"/>
  <c r="M24" i="192"/>
  <c r="I24" i="192"/>
  <c r="G24" i="192"/>
  <c r="AI42" i="8" l="1"/>
  <c r="U16" i="143"/>
  <c r="AI43" i="8"/>
  <c r="U17" i="143"/>
  <c r="AH19" i="8"/>
  <c r="AJ19" i="8" s="1"/>
  <c r="U18" i="143"/>
  <c r="AH8" i="50"/>
  <c r="G8" i="224" l="1"/>
  <c r="G19" i="224" s="1"/>
  <c r="G10" i="224"/>
  <c r="G21" i="224" s="1"/>
  <c r="H8" i="224"/>
  <c r="H19" i="224" s="1"/>
  <c r="H10" i="224"/>
  <c r="H21" i="224" s="1"/>
  <c r="D12" i="200"/>
  <c r="T12" i="200" s="1"/>
  <c r="D14" i="200"/>
  <c r="T14" i="200" s="1"/>
  <c r="D15" i="200"/>
  <c r="T15" i="200" s="1"/>
  <c r="H11" i="200"/>
  <c r="D11" i="200"/>
  <c r="Z45" i="8"/>
  <c r="X44" i="8"/>
  <c r="P13" i="200"/>
  <c r="P43" i="200" s="1"/>
  <c r="W44" i="8"/>
  <c r="W42" i="8"/>
  <c r="P7" i="200"/>
  <c r="P41" i="200" s="1"/>
  <c r="H7" i="200"/>
  <c r="H41" i="200" s="1"/>
  <c r="H9" i="200"/>
  <c r="P9" i="200"/>
  <c r="L9" i="200"/>
  <c r="D9" i="200"/>
  <c r="AH18" i="8"/>
  <c r="AJ18" i="8" s="1"/>
  <c r="AH16" i="8"/>
  <c r="AJ16" i="8" s="1"/>
  <c r="AH16" i="50"/>
  <c r="AI44" i="8"/>
  <c r="AH14" i="50"/>
  <c r="AH13" i="8"/>
  <c r="AA10" i="8"/>
  <c r="Q9" i="50" s="1"/>
  <c r="R9" i="50" s="1"/>
  <c r="AH15" i="8"/>
  <c r="AH13" i="50"/>
  <c r="U20" i="143"/>
  <c r="I8" i="224" l="1"/>
  <c r="I19" i="224" s="1"/>
  <c r="I10" i="224"/>
  <c r="I21" i="224" s="1"/>
  <c r="H25" i="224"/>
  <c r="G26" i="233"/>
  <c r="H26" i="233"/>
  <c r="H13" i="200"/>
  <c r="H43" i="200" s="1"/>
  <c r="P11" i="200"/>
  <c r="AE45" i="8"/>
  <c r="X45" i="8"/>
  <c r="W45" i="8"/>
  <c r="AF44" i="8"/>
  <c r="Y44" i="8"/>
  <c r="AF45" i="8"/>
  <c r="Y45" i="8"/>
  <c r="AG44" i="8"/>
  <c r="Z44" i="8"/>
  <c r="L10" i="200"/>
  <c r="L13" i="200"/>
  <c r="L43" i="200" s="1"/>
  <c r="D10" i="200"/>
  <c r="D42" i="200" s="1"/>
  <c r="L11" i="200"/>
  <c r="H16" i="200"/>
  <c r="H44" i="200" s="1"/>
  <c r="P10" i="200"/>
  <c r="AD44" i="8"/>
  <c r="Y42" i="8"/>
  <c r="AF42" i="8"/>
  <c r="H10" i="200"/>
  <c r="D13" i="200"/>
  <c r="D43" i="200" s="1"/>
  <c r="L7" i="200"/>
  <c r="L41" i="200" s="1"/>
  <c r="Z42" i="8"/>
  <c r="AG42" i="8"/>
  <c r="W43" i="8"/>
  <c r="P16" i="200"/>
  <c r="P44" i="200" s="1"/>
  <c r="AG45" i="8"/>
  <c r="AD43" i="8"/>
  <c r="X42" i="8"/>
  <c r="AE42" i="8"/>
  <c r="L16" i="200"/>
  <c r="L44" i="200" s="1"/>
  <c r="AA45" i="8"/>
  <c r="D16" i="200"/>
  <c r="D44" i="200" s="1"/>
  <c r="Y43" i="8"/>
  <c r="D7" i="200"/>
  <c r="D41" i="200" s="1"/>
  <c r="AA8" i="8"/>
  <c r="W41" i="8"/>
  <c r="AD42" i="8"/>
  <c r="AA11" i="8"/>
  <c r="AA44" i="8"/>
  <c r="AJ13" i="8"/>
  <c r="T9" i="200"/>
  <c r="X41" i="8"/>
  <c r="X43" i="8"/>
  <c r="AH10" i="8"/>
  <c r="AJ10" i="8" s="1"/>
  <c r="AI41" i="8"/>
  <c r="AI45" i="8"/>
  <c r="AC10" i="8"/>
  <c r="Z43" i="8"/>
  <c r="Y41" i="8"/>
  <c r="AJ15" i="8"/>
  <c r="Z41" i="8"/>
  <c r="AA12" i="8"/>
  <c r="J8" i="224" l="1"/>
  <c r="J19" i="224" s="1"/>
  <c r="J10" i="224"/>
  <c r="J21" i="224" s="1"/>
  <c r="K8" i="224"/>
  <c r="K19" i="224" s="1"/>
  <c r="K10" i="224"/>
  <c r="K21" i="224" s="1"/>
  <c r="P42" i="200"/>
  <c r="AC12" i="8"/>
  <c r="Q11" i="50"/>
  <c r="R11" i="50" s="1"/>
  <c r="AH11" i="50" s="1"/>
  <c r="AC11" i="8"/>
  <c r="AH9" i="50" s="1"/>
  <c r="Q10" i="50"/>
  <c r="R10" i="50" s="1"/>
  <c r="AA42" i="8"/>
  <c r="T10" i="143" s="1"/>
  <c r="T23" i="143" s="1"/>
  <c r="Q7" i="50"/>
  <c r="R7" i="50" s="1"/>
  <c r="H8" i="225"/>
  <c r="G8" i="225"/>
  <c r="L42" i="200"/>
  <c r="H40" i="200"/>
  <c r="H42" i="200"/>
  <c r="P40" i="200"/>
  <c r="D40" i="200"/>
  <c r="L40" i="200"/>
  <c r="AG43" i="8"/>
  <c r="T11" i="200"/>
  <c r="T16" i="200"/>
  <c r="T44" i="200" s="1"/>
  <c r="O11" i="201" s="1"/>
  <c r="O22" i="201" s="1"/>
  <c r="AH17" i="8"/>
  <c r="AD45" i="8"/>
  <c r="T13" i="200"/>
  <c r="T13" i="143"/>
  <c r="U13" i="143" s="1"/>
  <c r="AH12" i="8"/>
  <c r="AJ12" i="8" s="1"/>
  <c r="Z51" i="8"/>
  <c r="AF43" i="8"/>
  <c r="AH11" i="8"/>
  <c r="AJ11" i="8" s="1"/>
  <c r="AH8" i="8"/>
  <c r="AH42" i="8" s="1"/>
  <c r="AD41" i="8"/>
  <c r="AF41" i="8"/>
  <c r="Y51" i="8"/>
  <c r="AA43" i="8"/>
  <c r="T11" i="143" s="1"/>
  <c r="T10" i="200"/>
  <c r="X51" i="8"/>
  <c r="T12" i="143"/>
  <c r="AE44" i="8"/>
  <c r="AH14" i="8"/>
  <c r="W51" i="8"/>
  <c r="U19" i="143"/>
  <c r="AA41" i="8"/>
  <c r="T14" i="143" s="1"/>
  <c r="U14" i="143" s="1"/>
  <c r="AC8" i="8"/>
  <c r="AC42" i="8" s="1"/>
  <c r="AG41" i="8"/>
  <c r="AI51" i="8"/>
  <c r="AE43" i="8"/>
  <c r="AE41" i="8"/>
  <c r="T7" i="200"/>
  <c r="T41" i="200" s="1"/>
  <c r="L11" i="201" s="1"/>
  <c r="L22" i="201" s="1"/>
  <c r="G19" i="225" l="1"/>
  <c r="G25" i="225" s="1"/>
  <c r="H19" i="225"/>
  <c r="H25" i="225" s="1"/>
  <c r="AC43" i="8"/>
  <c r="O11" i="202"/>
  <c r="O28" i="201"/>
  <c r="AH10" i="50"/>
  <c r="L11" i="202"/>
  <c r="L28" i="201"/>
  <c r="G25" i="224"/>
  <c r="I8" i="225"/>
  <c r="I25" i="224"/>
  <c r="J8" i="225"/>
  <c r="J25" i="224"/>
  <c r="J26" i="233"/>
  <c r="I26" i="233"/>
  <c r="E11" i="201"/>
  <c r="E22" i="201" s="1"/>
  <c r="T43" i="200"/>
  <c r="N11" i="201" s="1"/>
  <c r="N22" i="201" s="1"/>
  <c r="T42" i="200"/>
  <c r="M11" i="201" s="1"/>
  <c r="M22" i="201" s="1"/>
  <c r="T40" i="200"/>
  <c r="P11" i="201" s="1"/>
  <c r="P22" i="201" s="1"/>
  <c r="T25" i="143"/>
  <c r="U12" i="143"/>
  <c r="T26" i="143"/>
  <c r="U26" i="143"/>
  <c r="T24" i="143"/>
  <c r="U11" i="143"/>
  <c r="AH43" i="8"/>
  <c r="AJ43" i="8"/>
  <c r="AJ17" i="8"/>
  <c r="AJ45" i="8" s="1"/>
  <c r="AH45" i="8"/>
  <c r="AH15" i="50"/>
  <c r="AC45" i="8"/>
  <c r="AF51" i="8"/>
  <c r="AC41" i="8"/>
  <c r="AE51" i="8"/>
  <c r="AA51" i="8"/>
  <c r="AD51" i="8"/>
  <c r="AJ14" i="8"/>
  <c r="AJ44" i="8" s="1"/>
  <c r="AH44" i="8"/>
  <c r="AC44" i="8"/>
  <c r="AG51" i="8"/>
  <c r="U10" i="143"/>
  <c r="AJ8" i="8"/>
  <c r="AJ42" i="8" s="1"/>
  <c r="AH41" i="8"/>
  <c r="J19" i="225" l="1"/>
  <c r="I19" i="225"/>
  <c r="O22" i="202"/>
  <c r="O28" i="202" s="1"/>
  <c r="L22" i="202"/>
  <c r="L28" i="202" s="1"/>
  <c r="U24" i="143"/>
  <c r="U25" i="143"/>
  <c r="U23" i="143"/>
  <c r="N11" i="202"/>
  <c r="N28" i="201"/>
  <c r="P11" i="202"/>
  <c r="P28" i="201"/>
  <c r="M11" i="202"/>
  <c r="M28" i="201"/>
  <c r="I25" i="225"/>
  <c r="J25" i="225"/>
  <c r="K26" i="233"/>
  <c r="K8" i="225"/>
  <c r="K25" i="224"/>
  <c r="C11" i="201"/>
  <c r="C22" i="201" s="1"/>
  <c r="D11" i="201"/>
  <c r="D22" i="201" s="1"/>
  <c r="F11" i="201"/>
  <c r="F22" i="201" s="1"/>
  <c r="B11" i="201"/>
  <c r="B22" i="201" s="1"/>
  <c r="T27" i="143"/>
  <c r="AC51" i="8"/>
  <c r="AJ41" i="8"/>
  <c r="Q39" i="50"/>
  <c r="Q8" i="53" s="1"/>
  <c r="AH51" i="8"/>
  <c r="K19" i="225" l="1"/>
  <c r="K25" i="225" s="1"/>
  <c r="Q10" i="53"/>
  <c r="R8" i="53"/>
  <c r="U27" i="143"/>
  <c r="M22" i="202"/>
  <c r="M28" i="202" s="1"/>
  <c r="N22" i="202"/>
  <c r="N28" i="202" s="1"/>
  <c r="P22" i="202"/>
  <c r="P28" i="202" s="1"/>
  <c r="C11" i="202"/>
  <c r="C22" i="202" s="1"/>
  <c r="C28" i="201"/>
  <c r="D28" i="201"/>
  <c r="D11" i="202"/>
  <c r="D22" i="202" s="1"/>
  <c r="E11" i="202"/>
  <c r="E22" i="202" s="1"/>
  <c r="E28" i="201"/>
  <c r="AH12" i="50"/>
  <c r="R39" i="50"/>
  <c r="F11" i="202"/>
  <c r="F22" i="202" s="1"/>
  <c r="F28" i="201"/>
  <c r="B11" i="202"/>
  <c r="B22" i="202" s="1"/>
  <c r="B28" i="201"/>
  <c r="AJ51" i="8"/>
  <c r="R10" i="53" l="1"/>
  <c r="F28" i="202"/>
  <c r="D28" i="202"/>
  <c r="E28" i="202"/>
  <c r="B28" i="202"/>
  <c r="C28" i="202"/>
  <c r="N14" i="53" l="1"/>
  <c r="N46" i="53" s="1"/>
  <c r="M22" i="53"/>
  <c r="M54" i="53" s="1"/>
  <c r="N32" i="53"/>
  <c r="N64" i="53" s="1"/>
  <c r="N16" i="53"/>
  <c r="N48" i="53" s="1"/>
  <c r="M40" i="53"/>
  <c r="M72" i="53" s="1"/>
  <c r="M24" i="53"/>
  <c r="M56" i="53" s="1"/>
  <c r="N30" i="53"/>
  <c r="N62" i="53" s="1"/>
  <c r="M16" i="53"/>
  <c r="M48" i="53" s="1"/>
  <c r="M18" i="53"/>
  <c r="M50" i="53" s="1"/>
  <c r="N28" i="53"/>
  <c r="N60" i="53" s="1"/>
  <c r="M38" i="53"/>
  <c r="M70" i="53" s="1"/>
  <c r="M36" i="53"/>
  <c r="M68" i="53" s="1"/>
  <c r="M20" i="53"/>
  <c r="M52" i="53" s="1"/>
  <c r="M34" i="53"/>
  <c r="M66" i="53" s="1"/>
  <c r="N40" i="53"/>
  <c r="N72" i="53" s="1"/>
  <c r="N24" i="53"/>
  <c r="N56" i="53" s="1"/>
  <c r="M26" i="53"/>
  <c r="M58" i="53" s="1"/>
  <c r="M32" i="53"/>
  <c r="M64" i="53" s="1"/>
  <c r="N38" i="53"/>
  <c r="N70" i="53" s="1"/>
  <c r="N22" i="53"/>
  <c r="N54" i="53" s="1"/>
  <c r="M30" i="53"/>
  <c r="M62" i="53" s="1"/>
  <c r="N36" i="53"/>
  <c r="N68" i="53" s="1"/>
  <c r="N20" i="53"/>
  <c r="N52" i="53" s="1"/>
  <c r="M14" i="53"/>
  <c r="M46" i="53" s="1"/>
  <c r="M28" i="53"/>
  <c r="M60" i="53" s="1"/>
  <c r="N34" i="53"/>
  <c r="N66" i="53" s="1"/>
  <c r="N18" i="53"/>
  <c r="N50" i="53" s="1"/>
  <c r="N26" i="53"/>
  <c r="N58" i="53" s="1"/>
  <c r="P30" i="53"/>
  <c r="P62" i="53" s="1"/>
  <c r="O30" i="53"/>
  <c r="O62" i="53" s="1"/>
  <c r="Q30" i="53"/>
  <c r="Q62" i="53" s="1"/>
  <c r="M74" i="53" l="1"/>
  <c r="N74" i="53"/>
  <c r="N76" i="53" l="1"/>
  <c r="N42" i="53"/>
  <c r="M76" i="53"/>
  <c r="M42" i="53"/>
  <c r="N33" i="233" l="1"/>
  <c r="O33" i="233"/>
  <c r="P33" i="233"/>
  <c r="L33" i="233"/>
  <c r="M33" i="233"/>
  <c r="F33" i="233"/>
  <c r="B33" i="233"/>
  <c r="E33" i="233"/>
  <c r="C33" i="233"/>
  <c r="D33" i="233"/>
  <c r="J33" i="233"/>
  <c r="G33" i="233"/>
  <c r="K33" i="233"/>
  <c r="I33" i="233"/>
  <c r="H33" i="233"/>
  <c r="X23" i="50"/>
  <c r="AA23" i="50" s="1"/>
  <c r="AH23" i="50" s="1"/>
  <c r="D22" i="19"/>
  <c r="X29" i="50"/>
  <c r="AA29" i="50" s="1"/>
  <c r="AH29" i="50" s="1"/>
  <c r="X17" i="50"/>
  <c r="AA17" i="50" s="1"/>
  <c r="AH17" i="50" s="1"/>
  <c r="B40" i="19"/>
  <c r="G8" i="221" s="1"/>
  <c r="G18" i="221" s="1"/>
  <c r="X30" i="50"/>
  <c r="AA30" i="50" s="1"/>
  <c r="AH30" i="50" s="1"/>
  <c r="X27" i="50"/>
  <c r="AA27" i="50" s="1"/>
  <c r="AH27" i="50" s="1"/>
  <c r="X33" i="50"/>
  <c r="AA33" i="50" s="1"/>
  <c r="AH33" i="50" s="1"/>
  <c r="K35" i="234" l="1"/>
  <c r="K32" i="224"/>
  <c r="C35" i="234"/>
  <c r="G35" i="234"/>
  <c r="G32" i="224"/>
  <c r="E35" i="234"/>
  <c r="H35" i="234"/>
  <c r="H32" i="224"/>
  <c r="J35" i="234"/>
  <c r="J32" i="224"/>
  <c r="B35" i="234"/>
  <c r="I35" i="234"/>
  <c r="I32" i="224"/>
  <c r="D35" i="234"/>
  <c r="F35" i="234"/>
  <c r="Y34" i="50"/>
  <c r="AA34" i="50" s="1"/>
  <c r="AH34" i="50" s="1"/>
  <c r="C39" i="19"/>
  <c r="C38" i="19"/>
  <c r="Y7" i="50"/>
  <c r="Y36" i="50"/>
  <c r="AA36" i="50" s="1"/>
  <c r="AH36" i="50" s="1"/>
  <c r="Y35" i="50"/>
  <c r="AA35" i="50" s="1"/>
  <c r="AH35" i="50" s="1"/>
  <c r="C41" i="19"/>
  <c r="S40" i="143"/>
  <c r="U40" i="143" s="1"/>
  <c r="X28" i="50"/>
  <c r="AA28" i="50" s="1"/>
  <c r="AH28" i="50" s="1"/>
  <c r="Y25" i="50"/>
  <c r="AA25" i="50" s="1"/>
  <c r="AH25" i="50" s="1"/>
  <c r="C40" i="19"/>
  <c r="Y37" i="50"/>
  <c r="AA37" i="50" s="1"/>
  <c r="AH37" i="50" s="1"/>
  <c r="D40" i="19" l="1"/>
  <c r="S52" i="143" s="1"/>
  <c r="U52" i="143" s="1"/>
  <c r="S47" i="143"/>
  <c r="L8" i="221"/>
  <c r="L18" i="221" s="1"/>
  <c r="S45" i="143"/>
  <c r="U45" i="143" s="1"/>
  <c r="C47" i="19"/>
  <c r="J8" i="221"/>
  <c r="J18" i="221" s="1"/>
  <c r="X7" i="50"/>
  <c r="B39" i="19"/>
  <c r="F8" i="221" s="1"/>
  <c r="F18" i="221" s="1"/>
  <c r="B38" i="19"/>
  <c r="I8" i="221" s="1"/>
  <c r="I18" i="221" s="1"/>
  <c r="G24" i="221"/>
  <c r="G8" i="222"/>
  <c r="Y39" i="50"/>
  <c r="D41" i="19"/>
  <c r="P8" i="221" s="1"/>
  <c r="P18" i="221" s="1"/>
  <c r="S48" i="143"/>
  <c r="U48" i="143" s="1"/>
  <c r="M8" i="221"/>
  <c r="M18" i="221" s="1"/>
  <c r="S46" i="143"/>
  <c r="U46" i="143" s="1"/>
  <c r="K8" i="221"/>
  <c r="K18" i="221" s="1"/>
  <c r="G18" i="222" l="1"/>
  <c r="G24" i="222" s="1"/>
  <c r="Y8" i="53"/>
  <c r="Y10" i="53" s="1"/>
  <c r="U47" i="143"/>
  <c r="S53" i="143"/>
  <c r="U53" i="143" s="1"/>
  <c r="B47" i="19"/>
  <c r="U39" i="143"/>
  <c r="X39" i="50"/>
  <c r="AA7" i="50"/>
  <c r="Y22" i="55"/>
  <c r="D38" i="19"/>
  <c r="D39" i="19"/>
  <c r="J24" i="221"/>
  <c r="J8" i="222"/>
  <c r="S42" i="143"/>
  <c r="U42" i="143" s="1"/>
  <c r="K24" i="221"/>
  <c r="K8" i="222"/>
  <c r="M24" i="221"/>
  <c r="M8" i="222"/>
  <c r="L24" i="221"/>
  <c r="L8" i="222"/>
  <c r="M18" i="222" l="1"/>
  <c r="J18" i="222"/>
  <c r="J24" i="222" s="1"/>
  <c r="K18" i="222"/>
  <c r="K24" i="222" s="1"/>
  <c r="L18" i="222"/>
  <c r="L24" i="222" s="1"/>
  <c r="X8" i="53"/>
  <c r="S54" i="143"/>
  <c r="U54" i="143" s="1"/>
  <c r="F8" i="222"/>
  <c r="F24" i="221"/>
  <c r="P24" i="221"/>
  <c r="P8" i="222"/>
  <c r="M24" i="222"/>
  <c r="AA39" i="50"/>
  <c r="X22" i="55"/>
  <c r="I8" i="222"/>
  <c r="I24" i="221"/>
  <c r="S51" i="143"/>
  <c r="U51" i="143" s="1"/>
  <c r="D47" i="19"/>
  <c r="P18" i="222" l="1"/>
  <c r="I18" i="222"/>
  <c r="F18" i="222"/>
  <c r="F24" i="222" s="1"/>
  <c r="X10" i="53"/>
  <c r="AA8" i="53"/>
  <c r="P24" i="222"/>
  <c r="I24" i="222"/>
  <c r="AA10" i="53" l="1"/>
  <c r="V30" i="53" s="1"/>
  <c r="V62" i="53" s="1"/>
  <c r="Y30" i="53" l="1"/>
  <c r="Y62" i="53" s="1"/>
  <c r="X30" i="53"/>
  <c r="X62" i="53" s="1"/>
  <c r="U30" i="53"/>
  <c r="U62" i="53" s="1"/>
  <c r="Z30" i="53"/>
  <c r="Z62" i="53" s="1"/>
  <c r="S30" i="53"/>
  <c r="S62" i="53" s="1"/>
  <c r="W30" i="53"/>
  <c r="W62" i="53" s="1"/>
  <c r="T30" i="53"/>
  <c r="T62" i="53" s="1"/>
  <c r="D28" i="159"/>
  <c r="H29" i="91"/>
  <c r="D28" i="160"/>
  <c r="L28" i="160"/>
  <c r="H28" i="160"/>
  <c r="D29" i="91"/>
  <c r="H28" i="154"/>
  <c r="H29" i="162"/>
  <c r="L29" i="162"/>
  <c r="L28" i="156"/>
  <c r="L28" i="154"/>
  <c r="D29" i="162"/>
  <c r="H28" i="156"/>
  <c r="L29" i="91"/>
  <c r="L28" i="159"/>
  <c r="H28" i="159"/>
  <c r="H27" i="160"/>
  <c r="L28" i="162"/>
  <c r="L27" i="159"/>
  <c r="D27" i="160"/>
  <c r="H27" i="154"/>
  <c r="D28" i="162"/>
  <c r="D27" i="159"/>
  <c r="H28" i="91"/>
  <c r="H28" i="162"/>
  <c r="L28" i="91"/>
  <c r="L27" i="156"/>
  <c r="L27" i="154"/>
  <c r="L27" i="160"/>
  <c r="H27" i="156"/>
  <c r="D28" i="91"/>
  <c r="H27" i="159"/>
  <c r="D27" i="162"/>
  <c r="L26" i="156"/>
  <c r="H27" i="162"/>
  <c r="L26" i="154"/>
  <c r="L26" i="159"/>
  <c r="H26" i="154"/>
  <c r="L26" i="160"/>
  <c r="H27" i="91"/>
  <c r="H26" i="160"/>
  <c r="D26" i="159"/>
  <c r="D26" i="160"/>
  <c r="H26" i="156"/>
  <c r="L27" i="162"/>
  <c r="D27" i="91"/>
  <c r="L27" i="91"/>
  <c r="H26" i="159"/>
  <c r="D15" i="171" l="1"/>
  <c r="D15" i="172"/>
  <c r="D15" i="173"/>
  <c r="D15" i="170"/>
  <c r="D15" i="168"/>
  <c r="D15" i="166"/>
  <c r="D15" i="167"/>
  <c r="D15" i="169"/>
  <c r="D15" i="165"/>
  <c r="L28" i="172" l="1"/>
  <c r="H28" i="171"/>
  <c r="D28" i="170"/>
  <c r="L28" i="166"/>
  <c r="L28" i="169"/>
  <c r="D28" i="173"/>
  <c r="H28" i="169"/>
  <c r="L28" i="173"/>
  <c r="H28" i="172"/>
  <c r="D28" i="171"/>
  <c r="L28" i="165"/>
  <c r="H28" i="166"/>
  <c r="D28" i="169"/>
  <c r="H28" i="170"/>
  <c r="H28" i="173"/>
  <c r="D28" i="172"/>
  <c r="L28" i="170"/>
  <c r="H28" i="165"/>
  <c r="D28" i="166"/>
  <c r="L28" i="171"/>
  <c r="D28" i="165"/>
  <c r="D28" i="167"/>
  <c r="D28" i="168"/>
  <c r="H28" i="168"/>
  <c r="L28" i="168"/>
  <c r="H28" i="167"/>
  <c r="L28" i="167"/>
  <c r="L25" i="172"/>
  <c r="H25" i="171"/>
  <c r="D25" i="170"/>
  <c r="D25" i="165"/>
  <c r="L25" i="167"/>
  <c r="D25" i="166"/>
  <c r="L25" i="171"/>
  <c r="H25" i="170"/>
  <c r="H25" i="169"/>
  <c r="L25" i="173"/>
  <c r="H25" i="172"/>
  <c r="D25" i="171"/>
  <c r="L25" i="169"/>
  <c r="H25" i="167"/>
  <c r="D25" i="167"/>
  <c r="D25" i="173"/>
  <c r="D25" i="169"/>
  <c r="H25" i="173"/>
  <c r="D25" i="172"/>
  <c r="L25" i="170"/>
  <c r="L25" i="165"/>
  <c r="L25" i="166"/>
  <c r="H25" i="166"/>
  <c r="H25" i="165"/>
  <c r="L25" i="168"/>
  <c r="D25" i="168"/>
  <c r="H25" i="168"/>
  <c r="L27" i="172"/>
  <c r="H27" i="171"/>
  <c r="D27" i="170"/>
  <c r="L27" i="165"/>
  <c r="D27" i="166"/>
  <c r="H27" i="167"/>
  <c r="H27" i="170"/>
  <c r="H27" i="169"/>
  <c r="L27" i="173"/>
  <c r="H27" i="172"/>
  <c r="D27" i="171"/>
  <c r="L27" i="169"/>
  <c r="H27" i="165"/>
  <c r="L27" i="166"/>
  <c r="L27" i="171"/>
  <c r="L27" i="167"/>
  <c r="H27" i="173"/>
  <c r="D27" i="172"/>
  <c r="L27" i="170"/>
  <c r="D27" i="167"/>
  <c r="D27" i="169"/>
  <c r="H27" i="166"/>
  <c r="D27" i="173"/>
  <c r="D27" i="165"/>
  <c r="L27" i="168"/>
  <c r="D27" i="168"/>
  <c r="H27" i="168"/>
  <c r="L26" i="173"/>
  <c r="H26" i="172"/>
  <c r="D26" i="171"/>
  <c r="L26" i="169"/>
  <c r="L26" i="166"/>
  <c r="H26" i="167"/>
  <c r="D26" i="170"/>
  <c r="L26" i="167"/>
  <c r="H26" i="173"/>
  <c r="D26" i="172"/>
  <c r="L26" i="170"/>
  <c r="L26" i="165"/>
  <c r="H26" i="166"/>
  <c r="H26" i="169"/>
  <c r="H26" i="171"/>
  <c r="D26" i="165"/>
  <c r="D26" i="173"/>
  <c r="L26" i="171"/>
  <c r="H26" i="170"/>
  <c r="H26" i="165"/>
  <c r="D26" i="166"/>
  <c r="D26" i="169"/>
  <c r="L26" i="172"/>
  <c r="D26" i="167"/>
  <c r="L26" i="168"/>
  <c r="H26" i="168"/>
  <c r="D26" i="168"/>
  <c r="X26" i="167" l="1"/>
  <c r="X26" i="170"/>
  <c r="X26" i="172"/>
  <c r="X26" i="173"/>
  <c r="X26" i="166"/>
  <c r="X26" i="169"/>
  <c r="X26" i="165"/>
  <c r="X26" i="168"/>
  <c r="X10" i="165"/>
  <c r="X10" i="167"/>
  <c r="X10" i="169"/>
  <c r="X10" i="173"/>
  <c r="X10" i="166"/>
  <c r="X10" i="172"/>
  <c r="X10" i="170"/>
  <c r="X10" i="168"/>
  <c r="X29" i="172"/>
  <c r="X29" i="173"/>
  <c r="X29" i="170"/>
  <c r="X29" i="169"/>
  <c r="X29" i="166"/>
  <c r="X29" i="167"/>
  <c r="X29" i="165"/>
  <c r="X29" i="168"/>
  <c r="X25" i="170"/>
  <c r="X25" i="173"/>
  <c r="X25" i="167"/>
  <c r="X25" i="166"/>
  <c r="X25" i="169"/>
  <c r="X25" i="165"/>
  <c r="X25" i="172"/>
  <c r="X25" i="168"/>
  <c r="X21" i="172"/>
  <c r="X21" i="169"/>
  <c r="X21" i="170"/>
  <c r="X21" i="167"/>
  <c r="X21" i="165"/>
  <c r="X21" i="173"/>
  <c r="X21" i="166"/>
  <c r="X21" i="168"/>
  <c r="X17" i="170"/>
  <c r="X17" i="173"/>
  <c r="X17" i="167"/>
  <c r="X17" i="165"/>
  <c r="X17" i="169"/>
  <c r="X17" i="166"/>
  <c r="X17" i="172"/>
  <c r="X17" i="168"/>
  <c r="X13" i="170"/>
  <c r="X13" i="166"/>
  <c r="X13" i="167"/>
  <c r="X13" i="165"/>
  <c r="X13" i="169"/>
  <c r="X13" i="172"/>
  <c r="X13" i="173"/>
  <c r="X13" i="168"/>
  <c r="X9" i="165"/>
  <c r="X9" i="173"/>
  <c r="X9" i="172"/>
  <c r="X9" i="170"/>
  <c r="X9" i="169"/>
  <c r="X9" i="166"/>
  <c r="X9" i="167"/>
  <c r="X9" i="168"/>
  <c r="X7" i="170"/>
  <c r="X7" i="167"/>
  <c r="X7" i="169"/>
  <c r="X7" i="173"/>
  <c r="X7" i="172"/>
  <c r="X7" i="166"/>
  <c r="X7" i="165"/>
  <c r="X7" i="168"/>
  <c r="X18" i="166"/>
  <c r="X18" i="165"/>
  <c r="X18" i="169"/>
  <c r="X18" i="172"/>
  <c r="X18" i="173"/>
  <c r="X18" i="167"/>
  <c r="X18" i="170"/>
  <c r="X18" i="168"/>
  <c r="X28" i="169"/>
  <c r="X28" i="165"/>
  <c r="X28" i="166"/>
  <c r="X28" i="170"/>
  <c r="X28" i="173"/>
  <c r="X28" i="172"/>
  <c r="X28" i="168"/>
  <c r="X28" i="167"/>
  <c r="X24" i="169"/>
  <c r="X24" i="165"/>
  <c r="X24" i="170"/>
  <c r="X24" i="167"/>
  <c r="X24" i="172"/>
  <c r="X24" i="173"/>
  <c r="X24" i="166"/>
  <c r="X24" i="168"/>
  <c r="X20" i="170"/>
  <c r="X20" i="173"/>
  <c r="X20" i="169"/>
  <c r="X20" i="165"/>
  <c r="X20" i="166"/>
  <c r="X20" i="172"/>
  <c r="X20" i="168"/>
  <c r="X20" i="167"/>
  <c r="X16" i="172"/>
  <c r="X16" i="169"/>
  <c r="X16" i="170"/>
  <c r="X16" i="167"/>
  <c r="X16" i="166"/>
  <c r="X16" i="165"/>
  <c r="X16" i="173"/>
  <c r="X16" i="168"/>
  <c r="X12" i="170"/>
  <c r="X12" i="172"/>
  <c r="X12" i="169"/>
  <c r="X12" i="167"/>
  <c r="X12" i="173"/>
  <c r="X12" i="166"/>
  <c r="X12" i="165"/>
  <c r="X12" i="168"/>
  <c r="X8" i="165"/>
  <c r="X8" i="173"/>
  <c r="X8" i="169"/>
  <c r="X8" i="172"/>
  <c r="X8" i="166"/>
  <c r="X8" i="170"/>
  <c r="X8" i="167"/>
  <c r="X8" i="168"/>
  <c r="X22" i="170"/>
  <c r="X22" i="169"/>
  <c r="X22" i="172"/>
  <c r="X22" i="165"/>
  <c r="X22" i="173"/>
  <c r="X22" i="168"/>
  <c r="X22" i="166"/>
  <c r="X22" i="167"/>
  <c r="X14" i="166"/>
  <c r="X14" i="173"/>
  <c r="X14" i="169"/>
  <c r="X14" i="170"/>
  <c r="X14" i="167"/>
  <c r="X14" i="172"/>
  <c r="X14" i="165"/>
  <c r="X14" i="168"/>
  <c r="X27" i="173"/>
  <c r="X27" i="166"/>
  <c r="X27" i="170"/>
  <c r="X27" i="165"/>
  <c r="X27" i="167"/>
  <c r="X27" i="172"/>
  <c r="X27" i="169"/>
  <c r="X27" i="168"/>
  <c r="X23" i="172"/>
  <c r="X23" i="173"/>
  <c r="X23" i="170"/>
  <c r="X23" i="169"/>
  <c r="X23" i="166"/>
  <c r="X23" i="165"/>
  <c r="X23" i="168"/>
  <c r="X23" i="167"/>
  <c r="X19" i="173"/>
  <c r="X19" i="170"/>
  <c r="X19" i="165"/>
  <c r="X19" i="172"/>
  <c r="X19" i="169"/>
  <c r="X19" i="168"/>
  <c r="X19" i="166"/>
  <c r="X19" i="167"/>
  <c r="X15" i="166"/>
  <c r="X15" i="165"/>
  <c r="X15" i="167"/>
  <c r="X15" i="170"/>
  <c r="X15" i="172"/>
  <c r="X15" i="169"/>
  <c r="X15" i="173"/>
  <c r="X15" i="168"/>
  <c r="X11" i="170"/>
  <c r="X11" i="169"/>
  <c r="X11" i="167"/>
  <c r="X11" i="166"/>
  <c r="X11" i="165"/>
  <c r="X11" i="173"/>
  <c r="X11" i="172"/>
  <c r="X11" i="168"/>
  <c r="H29" i="33" l="1"/>
  <c r="H16" i="33"/>
  <c r="H24" i="33"/>
  <c r="H25" i="33"/>
  <c r="H23" i="33"/>
  <c r="H27" i="33"/>
  <c r="H22" i="33"/>
  <c r="H28" i="33"/>
  <c r="H14" i="33"/>
  <c r="H21" i="33"/>
  <c r="H26" i="33"/>
  <c r="H7" i="33"/>
  <c r="H20" i="33"/>
  <c r="H11" i="33"/>
  <c r="H15" i="33"/>
  <c r="H18" i="33"/>
  <c r="H9" i="33"/>
  <c r="H19" i="33"/>
  <c r="H17" i="33"/>
  <c r="H13" i="33"/>
  <c r="H12" i="33"/>
  <c r="H10" i="33"/>
  <c r="H8" i="33"/>
  <c r="X39" i="168"/>
  <c r="X39" i="172"/>
  <c r="X39" i="170"/>
  <c r="X39" i="171"/>
  <c r="X39" i="165"/>
  <c r="X39" i="173"/>
  <c r="X39" i="167"/>
  <c r="X39" i="166"/>
  <c r="X39" i="169"/>
  <c r="H39" i="33" l="1"/>
  <c r="D9" i="165" l="1"/>
  <c r="D9" i="171"/>
  <c r="D9" i="166"/>
  <c r="D9" i="167"/>
  <c r="D9" i="170"/>
  <c r="D9" i="172"/>
  <c r="D9" i="168"/>
  <c r="D9" i="169"/>
  <c r="D9" i="173"/>
  <c r="D12" i="91"/>
  <c r="D12" i="162"/>
  <c r="D11" i="160"/>
  <c r="D11" i="154"/>
  <c r="D11" i="159"/>
  <c r="X29" i="156"/>
  <c r="X29" i="154"/>
  <c r="X29" i="159"/>
  <c r="D28" i="41"/>
  <c r="D20" i="41"/>
  <c r="X21" i="156"/>
  <c r="X21" i="154"/>
  <c r="X21" i="159"/>
  <c r="D8" i="41"/>
  <c r="X9" i="156"/>
  <c r="X9" i="154"/>
  <c r="X9" i="159"/>
  <c r="D8" i="173"/>
  <c r="D8" i="165"/>
  <c r="D8" i="167"/>
  <c r="D8" i="169"/>
  <c r="D8" i="168"/>
  <c r="D8" i="171"/>
  <c r="D8" i="172"/>
  <c r="D8" i="166"/>
  <c r="D8" i="170"/>
  <c r="D15" i="162"/>
  <c r="D15" i="91"/>
  <c r="D14" i="154"/>
  <c r="D14" i="160"/>
  <c r="D14" i="159"/>
  <c r="D11" i="91"/>
  <c r="D10" i="160"/>
  <c r="D11" i="162"/>
  <c r="D10" i="154"/>
  <c r="D10" i="159"/>
  <c r="X7" i="156"/>
  <c r="X7" i="154"/>
  <c r="X7" i="159"/>
  <c r="D6" i="41"/>
  <c r="P35" i="91"/>
  <c r="P34" i="156"/>
  <c r="T34" i="156" s="1"/>
  <c r="P35" i="162"/>
  <c r="P34" i="160"/>
  <c r="P34" i="154"/>
  <c r="P34" i="159"/>
  <c r="P31" i="162"/>
  <c r="T31" i="162" s="1"/>
  <c r="P30" i="156"/>
  <c r="T30" i="156" s="1"/>
  <c r="P31" i="91"/>
  <c r="T31" i="91" s="1"/>
  <c r="P30" i="160"/>
  <c r="T30" i="160" s="1"/>
  <c r="P30" i="154"/>
  <c r="T30" i="154" s="1"/>
  <c r="P30" i="159"/>
  <c r="T30" i="159" s="1"/>
  <c r="P27" i="162"/>
  <c r="T27" i="162" s="1"/>
  <c r="P26" i="156"/>
  <c r="T26" i="156" s="1"/>
  <c r="P26" i="160"/>
  <c r="T26" i="160" s="1"/>
  <c r="P27" i="91"/>
  <c r="T27" i="91" s="1"/>
  <c r="P26" i="154"/>
  <c r="T26" i="154" s="1"/>
  <c r="P26" i="159"/>
  <c r="T26" i="159" s="1"/>
  <c r="X36" i="159"/>
  <c r="X36" i="156"/>
  <c r="D35" i="41"/>
  <c r="X36" i="154"/>
  <c r="D31" i="41"/>
  <c r="X32" i="156"/>
  <c r="X32" i="154"/>
  <c r="X32" i="159"/>
  <c r="X28" i="156"/>
  <c r="X28" i="154"/>
  <c r="X28" i="159"/>
  <c r="D27" i="41"/>
  <c r="X24" i="156"/>
  <c r="D23" i="41"/>
  <c r="X24" i="154"/>
  <c r="X24" i="159"/>
  <c r="D19" i="41"/>
  <c r="X20" i="156"/>
  <c r="X20" i="154"/>
  <c r="X20" i="159"/>
  <c r="X16" i="156"/>
  <c r="D15" i="41"/>
  <c r="X16" i="154"/>
  <c r="X16" i="159"/>
  <c r="X12" i="156"/>
  <c r="D11" i="41"/>
  <c r="X12" i="154"/>
  <c r="X12" i="159"/>
  <c r="X8" i="156"/>
  <c r="D7" i="41"/>
  <c r="X8" i="154"/>
  <c r="X8" i="159"/>
  <c r="D13" i="172"/>
  <c r="D13" i="165"/>
  <c r="D13" i="166"/>
  <c r="D13" i="167"/>
  <c r="D13" i="170"/>
  <c r="D13" i="168"/>
  <c r="D13" i="169"/>
  <c r="D13" i="171"/>
  <c r="D13" i="173"/>
  <c r="P27" i="160"/>
  <c r="T27" i="160" s="1"/>
  <c r="P28" i="162"/>
  <c r="T28" i="162" s="1"/>
  <c r="P27" i="156"/>
  <c r="T27" i="156" s="1"/>
  <c r="P28" i="91"/>
  <c r="T28" i="91" s="1"/>
  <c r="P27" i="154"/>
  <c r="T27" i="154" s="1"/>
  <c r="P27" i="159"/>
  <c r="T27" i="159" s="1"/>
  <c r="X33" i="156"/>
  <c r="X33" i="154"/>
  <c r="X33" i="159"/>
  <c r="D32" i="41"/>
  <c r="X17" i="156"/>
  <c r="X17" i="154"/>
  <c r="X17" i="159"/>
  <c r="D16" i="41"/>
  <c r="D12" i="172"/>
  <c r="D12" i="165"/>
  <c r="D12" i="169"/>
  <c r="D12" i="166"/>
  <c r="D12" i="173"/>
  <c r="D12" i="167"/>
  <c r="D12" i="171"/>
  <c r="D12" i="170"/>
  <c r="D12" i="168"/>
  <c r="D11" i="172"/>
  <c r="D11" i="165"/>
  <c r="D11" i="166"/>
  <c r="D11" i="173"/>
  <c r="D11" i="168"/>
  <c r="D11" i="170"/>
  <c r="D11" i="171"/>
  <c r="D11" i="167"/>
  <c r="D11" i="169"/>
  <c r="D14" i="91"/>
  <c r="D14" i="162"/>
  <c r="D13" i="160"/>
  <c r="D13" i="154"/>
  <c r="D13" i="159"/>
  <c r="D9" i="160"/>
  <c r="D10" i="162"/>
  <c r="D9" i="154"/>
  <c r="D10" i="91"/>
  <c r="D9" i="159"/>
  <c r="P34" i="162"/>
  <c r="T34" i="162" s="1"/>
  <c r="P33" i="156"/>
  <c r="T33" i="156" s="1"/>
  <c r="P34" i="91"/>
  <c r="T34" i="91" s="1"/>
  <c r="P33" i="160"/>
  <c r="T33" i="160" s="1"/>
  <c r="P33" i="154"/>
  <c r="T33" i="154" s="1"/>
  <c r="P33" i="159"/>
  <c r="T33" i="159" s="1"/>
  <c r="P30" i="91"/>
  <c r="T30" i="91" s="1"/>
  <c r="P30" i="162"/>
  <c r="T30" i="162" s="1"/>
  <c r="P29" i="156"/>
  <c r="T29" i="156" s="1"/>
  <c r="P29" i="154"/>
  <c r="T29" i="154" s="1"/>
  <c r="P29" i="160"/>
  <c r="T29" i="160" s="1"/>
  <c r="P29" i="159"/>
  <c r="T29" i="159" s="1"/>
  <c r="X35" i="156"/>
  <c r="D34" i="41"/>
  <c r="X35" i="154"/>
  <c r="X35" i="159"/>
  <c r="X31" i="156"/>
  <c r="D30" i="41"/>
  <c r="X31" i="154"/>
  <c r="X31" i="159"/>
  <c r="X27" i="156"/>
  <c r="X27" i="154"/>
  <c r="X27" i="159"/>
  <c r="D26" i="41"/>
  <c r="X23" i="156"/>
  <c r="X23" i="154"/>
  <c r="X23" i="159"/>
  <c r="D22" i="41"/>
  <c r="D18" i="41"/>
  <c r="X19" i="156"/>
  <c r="X19" i="154"/>
  <c r="X19" i="159"/>
  <c r="D14" i="41"/>
  <c r="X15" i="156"/>
  <c r="X15" i="154"/>
  <c r="X15" i="159"/>
  <c r="D10" i="41"/>
  <c r="X11" i="156"/>
  <c r="X11" i="154"/>
  <c r="X11" i="159"/>
  <c r="D7" i="160"/>
  <c r="D7" i="162"/>
  <c r="D7" i="154"/>
  <c r="D7" i="91"/>
  <c r="D7" i="159"/>
  <c r="D16" i="162"/>
  <c r="D15" i="160"/>
  <c r="D15" i="154"/>
  <c r="D16" i="91"/>
  <c r="D15" i="159"/>
  <c r="P32" i="162"/>
  <c r="T32" i="162" s="1"/>
  <c r="P31" i="160"/>
  <c r="T31" i="160" s="1"/>
  <c r="P32" i="91"/>
  <c r="T32" i="91" s="1"/>
  <c r="P31" i="156"/>
  <c r="T31" i="156" s="1"/>
  <c r="P31" i="154"/>
  <c r="T31" i="154" s="1"/>
  <c r="P31" i="159"/>
  <c r="T31" i="159" s="1"/>
  <c r="X37" i="156"/>
  <c r="X37" i="159"/>
  <c r="D36" i="41"/>
  <c r="X37" i="154"/>
  <c r="X25" i="156"/>
  <c r="D24" i="41"/>
  <c r="X25" i="154"/>
  <c r="X25" i="159"/>
  <c r="X13" i="156"/>
  <c r="D12" i="41"/>
  <c r="X13" i="154"/>
  <c r="X13" i="159"/>
  <c r="D7" i="169"/>
  <c r="D7" i="171"/>
  <c r="D7" i="172"/>
  <c r="D7" i="168"/>
  <c r="D7" i="166"/>
  <c r="D7" i="167"/>
  <c r="D7" i="170"/>
  <c r="D7" i="165"/>
  <c r="D7" i="173"/>
  <c r="D14" i="172"/>
  <c r="D14" i="170"/>
  <c r="D14" i="173"/>
  <c r="D14" i="166"/>
  <c r="D14" i="171"/>
  <c r="D14" i="169"/>
  <c r="D14" i="168"/>
  <c r="D14" i="167"/>
  <c r="D14" i="165"/>
  <c r="D10" i="172"/>
  <c r="D10" i="169"/>
  <c r="D10" i="167"/>
  <c r="D10" i="168"/>
  <c r="D10" i="166"/>
  <c r="D10" i="173"/>
  <c r="D10" i="171"/>
  <c r="D10" i="170"/>
  <c r="D10" i="165"/>
  <c r="D13" i="91"/>
  <c r="D13" i="162"/>
  <c r="D12" i="160"/>
  <c r="D12" i="154"/>
  <c r="D12" i="159"/>
  <c r="D8" i="162"/>
  <c r="D8" i="91"/>
  <c r="D8" i="160"/>
  <c r="D9" i="162"/>
  <c r="D8" i="154"/>
  <c r="D9" i="91"/>
  <c r="D8" i="159"/>
  <c r="P33" i="91"/>
  <c r="T33" i="91" s="1"/>
  <c r="P33" i="162"/>
  <c r="T33" i="162" s="1"/>
  <c r="P32" i="156"/>
  <c r="T32" i="156" s="1"/>
  <c r="P32" i="160"/>
  <c r="T32" i="160" s="1"/>
  <c r="P32" i="154"/>
  <c r="T32" i="154" s="1"/>
  <c r="P32" i="159"/>
  <c r="T32" i="159" s="1"/>
  <c r="P29" i="91"/>
  <c r="T29" i="91" s="1"/>
  <c r="P28" i="154"/>
  <c r="T28" i="154" s="1"/>
  <c r="P29" i="162"/>
  <c r="T29" i="162" s="1"/>
  <c r="P28" i="160"/>
  <c r="T28" i="160" s="1"/>
  <c r="P28" i="156"/>
  <c r="T28" i="156" s="1"/>
  <c r="P28" i="159"/>
  <c r="T28" i="159" s="1"/>
  <c r="X34" i="156"/>
  <c r="D33" i="41"/>
  <c r="X34" i="154"/>
  <c r="X34" i="159"/>
  <c r="X30" i="156"/>
  <c r="X30" i="154"/>
  <c r="X30" i="159"/>
  <c r="D29" i="41"/>
  <c r="X26" i="156"/>
  <c r="D25" i="41"/>
  <c r="X26" i="154"/>
  <c r="X26" i="159"/>
  <c r="D21" i="41"/>
  <c r="X22" i="156"/>
  <c r="X22" i="154"/>
  <c r="X22" i="159"/>
  <c r="X18" i="156"/>
  <c r="D17" i="41"/>
  <c r="X18" i="154"/>
  <c r="X18" i="159"/>
  <c r="X14" i="156"/>
  <c r="D13" i="41"/>
  <c r="X14" i="154"/>
  <c r="X14" i="159"/>
  <c r="D9" i="41"/>
  <c r="X10" i="156"/>
  <c r="X10" i="154"/>
  <c r="X10" i="159"/>
  <c r="AB28" i="156" l="1"/>
  <c r="AB31" i="154"/>
  <c r="AB33" i="154"/>
  <c r="P13" i="91"/>
  <c r="P12" i="156"/>
  <c r="P12" i="154"/>
  <c r="P13" i="162"/>
  <c r="P12" i="160"/>
  <c r="P12" i="159"/>
  <c r="L15" i="172"/>
  <c r="L15" i="171"/>
  <c r="L15" i="165"/>
  <c r="L15" i="170"/>
  <c r="L15" i="169"/>
  <c r="L15" i="166"/>
  <c r="L15" i="168"/>
  <c r="L15" i="173"/>
  <c r="L15" i="167"/>
  <c r="H13" i="172"/>
  <c r="H13" i="165"/>
  <c r="H13" i="170"/>
  <c r="H13" i="167"/>
  <c r="H13" i="171"/>
  <c r="H13" i="169"/>
  <c r="H13" i="173"/>
  <c r="H13" i="168"/>
  <c r="H13" i="166"/>
  <c r="H18" i="41"/>
  <c r="AB19" i="159"/>
  <c r="H26" i="41"/>
  <c r="AB27" i="159"/>
  <c r="AF27" i="159" s="1"/>
  <c r="H7" i="169"/>
  <c r="H7" i="165"/>
  <c r="H7" i="170"/>
  <c r="H7" i="171"/>
  <c r="H7" i="173"/>
  <c r="H7" i="168"/>
  <c r="H7" i="166"/>
  <c r="H7" i="172"/>
  <c r="H7" i="167"/>
  <c r="H7" i="156"/>
  <c r="H7" i="154"/>
  <c r="H7" i="160"/>
  <c r="H7" i="162"/>
  <c r="H7" i="91"/>
  <c r="H7" i="159"/>
  <c r="AB36" i="154"/>
  <c r="T34" i="154"/>
  <c r="X39" i="156"/>
  <c r="X40" i="156"/>
  <c r="L10" i="154"/>
  <c r="L11" i="91"/>
  <c r="L10" i="160"/>
  <c r="L10" i="156"/>
  <c r="L11" i="162"/>
  <c r="L10" i="159"/>
  <c r="P17" i="171"/>
  <c r="P17" i="166"/>
  <c r="P17" i="173"/>
  <c r="P17" i="172"/>
  <c r="P17" i="168"/>
  <c r="P17" i="165"/>
  <c r="P17" i="169"/>
  <c r="P17" i="170"/>
  <c r="P17" i="167"/>
  <c r="P12" i="165"/>
  <c r="P12" i="172"/>
  <c r="P12" i="170"/>
  <c r="P12" i="168"/>
  <c r="P12" i="167"/>
  <c r="P12" i="173"/>
  <c r="P12" i="171"/>
  <c r="P12" i="169"/>
  <c r="P12" i="166"/>
  <c r="H28" i="41"/>
  <c r="AB29" i="159"/>
  <c r="L25" i="154"/>
  <c r="L25" i="156"/>
  <c r="H25" i="160"/>
  <c r="D26" i="91"/>
  <c r="L25" i="160"/>
  <c r="D26" i="162"/>
  <c r="D25" i="159"/>
  <c r="L25" i="159"/>
  <c r="H25" i="156"/>
  <c r="D25" i="160"/>
  <c r="H26" i="91"/>
  <c r="L26" i="91"/>
  <c r="H26" i="162"/>
  <c r="L26" i="162"/>
  <c r="H25" i="154"/>
  <c r="H25" i="159"/>
  <c r="H13" i="41"/>
  <c r="AB14" i="159"/>
  <c r="H21" i="41"/>
  <c r="AB22" i="159"/>
  <c r="H29" i="41"/>
  <c r="AB30" i="159"/>
  <c r="H16" i="160"/>
  <c r="H17" i="162"/>
  <c r="H17" i="91"/>
  <c r="H16" i="154"/>
  <c r="H16" i="159"/>
  <c r="P25" i="91"/>
  <c r="P24" i="156"/>
  <c r="P24" i="154"/>
  <c r="P25" i="162"/>
  <c r="P24" i="160"/>
  <c r="P24" i="159"/>
  <c r="P8" i="91"/>
  <c r="P8" i="162"/>
  <c r="P8" i="156"/>
  <c r="P9" i="91"/>
  <c r="P8" i="160"/>
  <c r="P8" i="154"/>
  <c r="P9" i="162"/>
  <c r="P8" i="159"/>
  <c r="D42" i="162"/>
  <c r="P19" i="171"/>
  <c r="P19" i="169"/>
  <c r="P19" i="173"/>
  <c r="P19" i="165"/>
  <c r="P19" i="170"/>
  <c r="P19" i="172"/>
  <c r="P19" i="166"/>
  <c r="P19" i="168"/>
  <c r="P19" i="167"/>
  <c r="P10" i="173"/>
  <c r="P10" i="171"/>
  <c r="P10" i="170"/>
  <c r="P10" i="167"/>
  <c r="P10" i="166"/>
  <c r="P10" i="169"/>
  <c r="P10" i="172"/>
  <c r="P10" i="168"/>
  <c r="P10" i="165"/>
  <c r="H14" i="170"/>
  <c r="H14" i="165"/>
  <c r="H14" i="172"/>
  <c r="H14" i="171"/>
  <c r="H14" i="168"/>
  <c r="H14" i="169"/>
  <c r="H14" i="166"/>
  <c r="H14" i="167"/>
  <c r="H14" i="173"/>
  <c r="D41" i="91"/>
  <c r="P13" i="165"/>
  <c r="P13" i="170"/>
  <c r="P13" i="172"/>
  <c r="P13" i="168"/>
  <c r="P13" i="166"/>
  <c r="P13" i="169"/>
  <c r="P13" i="173"/>
  <c r="P13" i="167"/>
  <c r="P13" i="171"/>
  <c r="X41" i="154"/>
  <c r="AB27" i="154"/>
  <c r="AB31" i="156"/>
  <c r="AB35" i="154"/>
  <c r="AB29" i="156"/>
  <c r="H17" i="160"/>
  <c r="H18" i="162"/>
  <c r="H17" i="154"/>
  <c r="H18" i="91"/>
  <c r="H17" i="159"/>
  <c r="D21" i="160"/>
  <c r="L21" i="154"/>
  <c r="H21" i="160"/>
  <c r="H22" i="162"/>
  <c r="L21" i="160"/>
  <c r="D22" i="91"/>
  <c r="L21" i="156"/>
  <c r="L22" i="162"/>
  <c r="L22" i="91"/>
  <c r="D22" i="162"/>
  <c r="H21" i="156"/>
  <c r="D21" i="159"/>
  <c r="H22" i="91"/>
  <c r="H21" i="154"/>
  <c r="L21" i="159"/>
  <c r="H21" i="159"/>
  <c r="H10" i="91"/>
  <c r="H9" i="156"/>
  <c r="H9" i="160"/>
  <c r="H9" i="154"/>
  <c r="H10" i="162"/>
  <c r="H9" i="159"/>
  <c r="P13" i="156"/>
  <c r="P14" i="162"/>
  <c r="P13" i="154"/>
  <c r="P14" i="91"/>
  <c r="P13" i="160"/>
  <c r="P13" i="159"/>
  <c r="H16" i="170"/>
  <c r="H16" i="166"/>
  <c r="H16" i="173"/>
  <c r="H16" i="168"/>
  <c r="H16" i="165"/>
  <c r="H16" i="172"/>
  <c r="H16" i="171"/>
  <c r="H16" i="167"/>
  <c r="H16" i="169"/>
  <c r="D20" i="171"/>
  <c r="H20" i="173"/>
  <c r="D20" i="165"/>
  <c r="D20" i="166"/>
  <c r="H20" i="171"/>
  <c r="H20" i="172"/>
  <c r="H20" i="165"/>
  <c r="D20" i="170"/>
  <c r="D20" i="173"/>
  <c r="H20" i="170"/>
  <c r="H20" i="166"/>
  <c r="D20" i="172"/>
  <c r="L20" i="171"/>
  <c r="L20" i="173"/>
  <c r="L20" i="172"/>
  <c r="L20" i="166"/>
  <c r="L20" i="165"/>
  <c r="L20" i="170"/>
  <c r="L20" i="169"/>
  <c r="H20" i="169"/>
  <c r="D20" i="168"/>
  <c r="D20" i="169"/>
  <c r="L20" i="168"/>
  <c r="H20" i="168"/>
  <c r="H20" i="167"/>
  <c r="D20" i="167"/>
  <c r="L20" i="167"/>
  <c r="H11" i="172"/>
  <c r="H11" i="165"/>
  <c r="H11" i="171"/>
  <c r="H11" i="169"/>
  <c r="H11" i="173"/>
  <c r="H11" i="168"/>
  <c r="H11" i="166"/>
  <c r="H11" i="170"/>
  <c r="H11" i="167"/>
  <c r="P7" i="169"/>
  <c r="P7" i="170"/>
  <c r="P7" i="165"/>
  <c r="P7" i="171"/>
  <c r="P7" i="167"/>
  <c r="P7" i="173"/>
  <c r="P7" i="168"/>
  <c r="P7" i="166"/>
  <c r="P7" i="172"/>
  <c r="H16" i="41"/>
  <c r="AB17" i="159"/>
  <c r="P7" i="154"/>
  <c r="P7" i="156"/>
  <c r="P7" i="160"/>
  <c r="P7" i="162"/>
  <c r="P7" i="91"/>
  <c r="P7" i="159"/>
  <c r="H9" i="170"/>
  <c r="H9" i="165"/>
  <c r="H9" i="173"/>
  <c r="H9" i="166"/>
  <c r="H9" i="172"/>
  <c r="H9" i="169"/>
  <c r="H9" i="168"/>
  <c r="H9" i="167"/>
  <c r="H9" i="171"/>
  <c r="H11" i="41"/>
  <c r="AB12" i="159"/>
  <c r="H19" i="41"/>
  <c r="AB20" i="159"/>
  <c r="H27" i="41"/>
  <c r="AB28" i="159"/>
  <c r="AB36" i="156"/>
  <c r="AB36" i="159"/>
  <c r="H35" i="41"/>
  <c r="D38" i="41"/>
  <c r="D39" i="41"/>
  <c r="P23" i="162"/>
  <c r="P22" i="156"/>
  <c r="P23" i="91"/>
  <c r="P22" i="154"/>
  <c r="P22" i="160"/>
  <c r="P22" i="159"/>
  <c r="H11" i="91"/>
  <c r="H10" i="156"/>
  <c r="H10" i="160"/>
  <c r="H10" i="154"/>
  <c r="H11" i="162"/>
  <c r="H10" i="159"/>
  <c r="D17" i="172"/>
  <c r="D17" i="169"/>
  <c r="D17" i="173"/>
  <c r="D17" i="170"/>
  <c r="D17" i="171"/>
  <c r="L17" i="169"/>
  <c r="D17" i="166"/>
  <c r="D17" i="168"/>
  <c r="L17" i="171"/>
  <c r="L17" i="166"/>
  <c r="D17" i="167"/>
  <c r="L17" i="167"/>
  <c r="L17" i="170"/>
  <c r="L17" i="173"/>
  <c r="L17" i="172"/>
  <c r="L17" i="168"/>
  <c r="D17" i="165"/>
  <c r="L17" i="165"/>
  <c r="H8" i="170"/>
  <c r="H8" i="165"/>
  <c r="H8" i="166"/>
  <c r="H8" i="167"/>
  <c r="H8" i="172"/>
  <c r="H8" i="169"/>
  <c r="H8" i="168"/>
  <c r="H8" i="171"/>
  <c r="H8" i="173"/>
  <c r="L12" i="172"/>
  <c r="L12" i="165"/>
  <c r="L12" i="173"/>
  <c r="L12" i="171"/>
  <c r="L12" i="170"/>
  <c r="L12" i="169"/>
  <c r="L12" i="168"/>
  <c r="L12" i="167"/>
  <c r="L12" i="166"/>
  <c r="X41" i="159"/>
  <c r="D40" i="41"/>
  <c r="AB29" i="154"/>
  <c r="L12" i="91"/>
  <c r="L11" i="156"/>
  <c r="L11" i="154"/>
  <c r="L12" i="162"/>
  <c r="L11" i="160"/>
  <c r="L11" i="159"/>
  <c r="D43" i="162"/>
  <c r="P22" i="173"/>
  <c r="P22" i="172"/>
  <c r="P22" i="170"/>
  <c r="P22" i="171"/>
  <c r="P22" i="169"/>
  <c r="P22" i="165"/>
  <c r="P22" i="167"/>
  <c r="P22" i="168"/>
  <c r="P22" i="166"/>
  <c r="D20" i="160"/>
  <c r="L21" i="162"/>
  <c r="H20" i="156"/>
  <c r="D21" i="91"/>
  <c r="H21" i="91"/>
  <c r="H20" i="160"/>
  <c r="L21" i="91"/>
  <c r="H21" i="162"/>
  <c r="L20" i="160"/>
  <c r="D20" i="159"/>
  <c r="L20" i="154"/>
  <c r="D21" i="162"/>
  <c r="L20" i="156"/>
  <c r="H20" i="154"/>
  <c r="H20" i="159"/>
  <c r="L20" i="159"/>
  <c r="H23" i="169"/>
  <c r="D23" i="169"/>
  <c r="H23" i="166"/>
  <c r="H23" i="171"/>
  <c r="D23" i="172"/>
  <c r="D23" i="173"/>
  <c r="D23" i="166"/>
  <c r="D23" i="165"/>
  <c r="H23" i="173"/>
  <c r="D23" i="171"/>
  <c r="D23" i="170"/>
  <c r="H23" i="165"/>
  <c r="H23" i="172"/>
  <c r="H23" i="170"/>
  <c r="L23" i="166"/>
  <c r="L23" i="173"/>
  <c r="L23" i="169"/>
  <c r="L23" i="170"/>
  <c r="L23" i="171"/>
  <c r="L23" i="165"/>
  <c r="L23" i="172"/>
  <c r="H23" i="167"/>
  <c r="L23" i="167"/>
  <c r="D23" i="167"/>
  <c r="L23" i="168"/>
  <c r="H23" i="168"/>
  <c r="D23" i="168"/>
  <c r="AB37" i="159"/>
  <c r="H36" i="41"/>
  <c r="D23" i="159"/>
  <c r="D24" i="91"/>
  <c r="L23" i="156"/>
  <c r="D24" i="162"/>
  <c r="L24" i="162"/>
  <c r="H23" i="160"/>
  <c r="L23" i="160"/>
  <c r="L24" i="91"/>
  <c r="H23" i="156"/>
  <c r="H24" i="162"/>
  <c r="D23" i="160"/>
  <c r="L23" i="154"/>
  <c r="H24" i="91"/>
  <c r="H23" i="154"/>
  <c r="H23" i="159"/>
  <c r="L23" i="159"/>
  <c r="D41" i="162"/>
  <c r="H15" i="156"/>
  <c r="H16" i="91"/>
  <c r="H16" i="162"/>
  <c r="H15" i="154"/>
  <c r="H15" i="160"/>
  <c r="H15" i="159"/>
  <c r="H14" i="162"/>
  <c r="H13" i="156"/>
  <c r="H14" i="91"/>
  <c r="H13" i="154"/>
  <c r="H13" i="160"/>
  <c r="H13" i="159"/>
  <c r="P11" i="168"/>
  <c r="P11" i="166"/>
  <c r="P11" i="172"/>
  <c r="P11" i="169"/>
  <c r="P11" i="171"/>
  <c r="P11" i="173"/>
  <c r="P11" i="170"/>
  <c r="P11" i="167"/>
  <c r="P11" i="165"/>
  <c r="D18" i="173"/>
  <c r="H18" i="173"/>
  <c r="H18" i="171"/>
  <c r="H18" i="166"/>
  <c r="D18" i="171"/>
  <c r="D18" i="172"/>
  <c r="D18" i="166"/>
  <c r="D18" i="170"/>
  <c r="H18" i="172"/>
  <c r="H18" i="170"/>
  <c r="L18" i="170"/>
  <c r="H18" i="165"/>
  <c r="L18" i="172"/>
  <c r="L18" i="165"/>
  <c r="L18" i="171"/>
  <c r="L18" i="166"/>
  <c r="L18" i="173"/>
  <c r="D18" i="165"/>
  <c r="D18" i="168"/>
  <c r="L18" i="169"/>
  <c r="D18" i="169"/>
  <c r="D18" i="167"/>
  <c r="H18" i="168"/>
  <c r="H18" i="167"/>
  <c r="L18" i="168"/>
  <c r="L18" i="167"/>
  <c r="H18" i="169"/>
  <c r="AB30" i="156"/>
  <c r="T35" i="91"/>
  <c r="P8" i="165"/>
  <c r="P8" i="170"/>
  <c r="P8" i="171"/>
  <c r="P8" i="169"/>
  <c r="P8" i="166"/>
  <c r="P8" i="173"/>
  <c r="P8" i="168"/>
  <c r="P8" i="167"/>
  <c r="P8" i="172"/>
  <c r="X41" i="156"/>
  <c r="AB30" i="154"/>
  <c r="P17" i="91"/>
  <c r="P16" i="160"/>
  <c r="P16" i="154"/>
  <c r="P16" i="156"/>
  <c r="P17" i="162"/>
  <c r="P16" i="159"/>
  <c r="L24" i="156"/>
  <c r="H24" i="156"/>
  <c r="L24" i="154"/>
  <c r="H25" i="91"/>
  <c r="H24" i="160"/>
  <c r="L24" i="160"/>
  <c r="D24" i="159"/>
  <c r="L25" i="91"/>
  <c r="L25" i="162"/>
  <c r="H25" i="162"/>
  <c r="D25" i="91"/>
  <c r="D25" i="162"/>
  <c r="D24" i="160"/>
  <c r="H24" i="154"/>
  <c r="H24" i="159"/>
  <c r="L24" i="159"/>
  <c r="H13" i="162"/>
  <c r="H13" i="91"/>
  <c r="H12" i="156"/>
  <c r="H12" i="154"/>
  <c r="H12" i="160"/>
  <c r="H12" i="159"/>
  <c r="P15" i="170"/>
  <c r="P15" i="165"/>
  <c r="P15" i="171"/>
  <c r="P15" i="172"/>
  <c r="P15" i="166"/>
  <c r="P15" i="169"/>
  <c r="P15" i="167"/>
  <c r="P15" i="173"/>
  <c r="P15" i="168"/>
  <c r="H19" i="173"/>
  <c r="D19" i="171"/>
  <c r="D19" i="172"/>
  <c r="D19" i="173"/>
  <c r="D19" i="165"/>
  <c r="H19" i="172"/>
  <c r="H19" i="171"/>
  <c r="D19" i="170"/>
  <c r="H19" i="169"/>
  <c r="D19" i="169"/>
  <c r="H19" i="170"/>
  <c r="H19" i="165"/>
  <c r="L19" i="173"/>
  <c r="L19" i="165"/>
  <c r="L19" i="169"/>
  <c r="L19" i="170"/>
  <c r="L19" i="171"/>
  <c r="L19" i="172"/>
  <c r="H19" i="167"/>
  <c r="L19" i="166"/>
  <c r="H19" i="168"/>
  <c r="D19" i="168"/>
  <c r="H19" i="166"/>
  <c r="L19" i="168"/>
  <c r="L19" i="167"/>
  <c r="D19" i="167"/>
  <c r="D19" i="166"/>
  <c r="H10" i="172"/>
  <c r="H10" i="167"/>
  <c r="H10" i="170"/>
  <c r="H10" i="169"/>
  <c r="H10" i="173"/>
  <c r="H10" i="165"/>
  <c r="H10" i="166"/>
  <c r="H10" i="171"/>
  <c r="H10" i="168"/>
  <c r="L14" i="170"/>
  <c r="L14" i="172"/>
  <c r="L14" i="165"/>
  <c r="L14" i="171"/>
  <c r="L14" i="169"/>
  <c r="L14" i="168"/>
  <c r="L14" i="167"/>
  <c r="L14" i="166"/>
  <c r="L14" i="173"/>
  <c r="AB25" i="159"/>
  <c r="H24" i="41"/>
  <c r="AB37" i="156"/>
  <c r="L13" i="172"/>
  <c r="L13" i="165"/>
  <c r="L13" i="167"/>
  <c r="L13" i="173"/>
  <c r="L13" i="168"/>
  <c r="L13" i="171"/>
  <c r="L13" i="170"/>
  <c r="L13" i="166"/>
  <c r="L13" i="169"/>
  <c r="H14" i="41"/>
  <c r="AB15" i="159"/>
  <c r="H22" i="41"/>
  <c r="AB23" i="159"/>
  <c r="H30" i="41"/>
  <c r="AB31" i="159"/>
  <c r="D41" i="41"/>
  <c r="P18" i="162"/>
  <c r="P17" i="156"/>
  <c r="P17" i="160"/>
  <c r="P18" i="91"/>
  <c r="P17" i="154"/>
  <c r="P17" i="159"/>
  <c r="L16" i="91"/>
  <c r="L16" i="162"/>
  <c r="L15" i="154"/>
  <c r="L15" i="156"/>
  <c r="L15" i="160"/>
  <c r="L15" i="159"/>
  <c r="P9" i="156"/>
  <c r="P9" i="160"/>
  <c r="P10" i="91"/>
  <c r="P9" i="154"/>
  <c r="P10" i="162"/>
  <c r="P9" i="159"/>
  <c r="L13" i="156"/>
  <c r="L14" i="91"/>
  <c r="L14" i="162"/>
  <c r="L13" i="154"/>
  <c r="L13" i="160"/>
  <c r="L13" i="159"/>
  <c r="P16" i="173"/>
  <c r="P16" i="166"/>
  <c r="P16" i="171"/>
  <c r="P16" i="165"/>
  <c r="P16" i="172"/>
  <c r="P16" i="170"/>
  <c r="P16" i="167"/>
  <c r="P16" i="168"/>
  <c r="P16" i="169"/>
  <c r="P24" i="172"/>
  <c r="P24" i="171"/>
  <c r="P24" i="165"/>
  <c r="P24" i="167"/>
  <c r="P24" i="166"/>
  <c r="P24" i="169"/>
  <c r="P24" i="170"/>
  <c r="P24" i="173"/>
  <c r="P24" i="168"/>
  <c r="L11" i="172"/>
  <c r="L11" i="169"/>
  <c r="L11" i="173"/>
  <c r="L11" i="166"/>
  <c r="L11" i="167"/>
  <c r="L11" i="171"/>
  <c r="L11" i="170"/>
  <c r="L11" i="168"/>
  <c r="L11" i="165"/>
  <c r="P19" i="156"/>
  <c r="P19" i="160"/>
  <c r="P20" i="162"/>
  <c r="P20" i="91"/>
  <c r="P19" i="154"/>
  <c r="P19" i="159"/>
  <c r="L7" i="154"/>
  <c r="L7" i="156"/>
  <c r="L7" i="160"/>
  <c r="L7" i="162"/>
  <c r="L7" i="91"/>
  <c r="L7" i="159"/>
  <c r="P9" i="170"/>
  <c r="P9" i="165"/>
  <c r="P9" i="169"/>
  <c r="P9" i="173"/>
  <c r="P9" i="168"/>
  <c r="P9" i="172"/>
  <c r="P9" i="167"/>
  <c r="P9" i="166"/>
  <c r="P9" i="171"/>
  <c r="H7" i="41"/>
  <c r="AB8" i="159"/>
  <c r="AB28" i="154"/>
  <c r="AB32" i="156"/>
  <c r="AB26" i="156"/>
  <c r="T35" i="162"/>
  <c r="AB7" i="159"/>
  <c r="H6" i="41"/>
  <c r="L6" i="41" s="1"/>
  <c r="H22" i="156"/>
  <c r="L23" i="91"/>
  <c r="L23" i="162"/>
  <c r="H23" i="162"/>
  <c r="H22" i="160"/>
  <c r="D22" i="160"/>
  <c r="L22" i="160"/>
  <c r="L22" i="154"/>
  <c r="D23" i="91"/>
  <c r="D22" i="159"/>
  <c r="D23" i="162"/>
  <c r="H23" i="91"/>
  <c r="L22" i="156"/>
  <c r="H22" i="154"/>
  <c r="H22" i="159"/>
  <c r="L22" i="159"/>
  <c r="P15" i="91"/>
  <c r="P15" i="162"/>
  <c r="P14" i="156"/>
  <c r="P14" i="154"/>
  <c r="P14" i="160"/>
  <c r="P14" i="159"/>
  <c r="P21" i="165"/>
  <c r="P21" i="167"/>
  <c r="P21" i="173"/>
  <c r="P21" i="170"/>
  <c r="P21" i="171"/>
  <c r="P21" i="166"/>
  <c r="P21" i="172"/>
  <c r="P21" i="168"/>
  <c r="P21" i="169"/>
  <c r="L8" i="165"/>
  <c r="L8" i="166"/>
  <c r="L8" i="172"/>
  <c r="L8" i="170"/>
  <c r="L8" i="171"/>
  <c r="L8" i="173"/>
  <c r="L8" i="169"/>
  <c r="L8" i="167"/>
  <c r="L8" i="168"/>
  <c r="H20" i="41"/>
  <c r="AB21" i="159"/>
  <c r="H12" i="91"/>
  <c r="H11" i="154"/>
  <c r="H11" i="156"/>
  <c r="H11" i="160"/>
  <c r="H12" i="162"/>
  <c r="H11" i="159"/>
  <c r="D22" i="173"/>
  <c r="H22" i="172"/>
  <c r="H22" i="171"/>
  <c r="H22" i="173"/>
  <c r="D22" i="172"/>
  <c r="H22" i="169"/>
  <c r="D22" i="169"/>
  <c r="D22" i="171"/>
  <c r="D22" i="170"/>
  <c r="H22" i="170"/>
  <c r="H22" i="165"/>
  <c r="D22" i="165"/>
  <c r="L22" i="171"/>
  <c r="L22" i="172"/>
  <c r="L22" i="173"/>
  <c r="L22" i="169"/>
  <c r="L22" i="165"/>
  <c r="L22" i="170"/>
  <c r="L22" i="167"/>
  <c r="H22" i="167"/>
  <c r="D22" i="167"/>
  <c r="H22" i="168"/>
  <c r="L22" i="168"/>
  <c r="H22" i="166"/>
  <c r="D22" i="168"/>
  <c r="D22" i="166"/>
  <c r="L22" i="166"/>
  <c r="P25" i="160"/>
  <c r="P26" i="162"/>
  <c r="P25" i="156"/>
  <c r="P26" i="91"/>
  <c r="P25" i="154"/>
  <c r="P25" i="159"/>
  <c r="L17" i="91"/>
  <c r="L16" i="154"/>
  <c r="L16" i="160"/>
  <c r="L16" i="156"/>
  <c r="L17" i="162"/>
  <c r="L16" i="159"/>
  <c r="L8" i="91"/>
  <c r="L8" i="162"/>
  <c r="L8" i="160"/>
  <c r="L8" i="156"/>
  <c r="L8" i="154"/>
  <c r="L9" i="162"/>
  <c r="L9" i="91"/>
  <c r="L8" i="159"/>
  <c r="P14" i="172"/>
  <c r="P14" i="170"/>
  <c r="P14" i="165"/>
  <c r="P14" i="167"/>
  <c r="P14" i="166"/>
  <c r="P14" i="171"/>
  <c r="P14" i="169"/>
  <c r="P14" i="173"/>
  <c r="P14" i="168"/>
  <c r="H12" i="41"/>
  <c r="AB13" i="159"/>
  <c r="AB37" i="154"/>
  <c r="H10" i="41"/>
  <c r="AB11" i="159"/>
  <c r="AB35" i="159"/>
  <c r="AF35" i="159" s="1"/>
  <c r="H34" i="41"/>
  <c r="L34" i="41" s="1"/>
  <c r="P21" i="160"/>
  <c r="P22" i="162"/>
  <c r="P22" i="91"/>
  <c r="P21" i="154"/>
  <c r="P21" i="156"/>
  <c r="P21" i="159"/>
  <c r="P20" i="172"/>
  <c r="P20" i="166"/>
  <c r="P20" i="171"/>
  <c r="P20" i="170"/>
  <c r="P20" i="173"/>
  <c r="P20" i="165"/>
  <c r="P20" i="168"/>
  <c r="P20" i="169"/>
  <c r="P20" i="167"/>
  <c r="AB27" i="156"/>
  <c r="T34" i="160"/>
  <c r="X40" i="154"/>
  <c r="X39" i="154"/>
  <c r="D18" i="154"/>
  <c r="H18" i="156"/>
  <c r="D19" i="91"/>
  <c r="D18" i="159"/>
  <c r="D18" i="160"/>
  <c r="H19" i="162"/>
  <c r="H18" i="160"/>
  <c r="D19" i="162"/>
  <c r="H19" i="91"/>
  <c r="H18" i="154"/>
  <c r="L18" i="154"/>
  <c r="L18" i="156"/>
  <c r="L19" i="162"/>
  <c r="L18" i="160"/>
  <c r="L19" i="91"/>
  <c r="H18" i="159"/>
  <c r="L18" i="159"/>
  <c r="H15" i="162"/>
  <c r="H15" i="91"/>
  <c r="H14" i="156"/>
  <c r="H14" i="154"/>
  <c r="H14" i="160"/>
  <c r="H14" i="159"/>
  <c r="H8" i="41"/>
  <c r="AB9" i="159"/>
  <c r="H9" i="41"/>
  <c r="AB10" i="159"/>
  <c r="H17" i="41"/>
  <c r="AB18" i="159"/>
  <c r="AB26" i="154"/>
  <c r="H25" i="41"/>
  <c r="AB26" i="159"/>
  <c r="AB34" i="159"/>
  <c r="H33" i="41"/>
  <c r="P20" i="160"/>
  <c r="P21" i="91"/>
  <c r="P21" i="162"/>
  <c r="P20" i="156"/>
  <c r="P20" i="154"/>
  <c r="P20" i="159"/>
  <c r="H8" i="162"/>
  <c r="H8" i="91"/>
  <c r="H8" i="154"/>
  <c r="H9" i="91"/>
  <c r="H8" i="160"/>
  <c r="H8" i="156"/>
  <c r="H9" i="162"/>
  <c r="H8" i="159"/>
  <c r="L13" i="91"/>
  <c r="L12" i="156"/>
  <c r="L12" i="154"/>
  <c r="L13" i="162"/>
  <c r="L12" i="160"/>
  <c r="L12" i="159"/>
  <c r="D42" i="91"/>
  <c r="H15" i="165"/>
  <c r="H15" i="172"/>
  <c r="H15" i="171"/>
  <c r="H15" i="170"/>
  <c r="H15" i="167"/>
  <c r="H15" i="169"/>
  <c r="H15" i="166"/>
  <c r="H15" i="173"/>
  <c r="H15" i="168"/>
  <c r="P23" i="165"/>
  <c r="P23" i="173"/>
  <c r="P23" i="166"/>
  <c r="P23" i="169"/>
  <c r="P23" i="171"/>
  <c r="P23" i="172"/>
  <c r="P23" i="170"/>
  <c r="P23" i="167"/>
  <c r="P23" i="168"/>
  <c r="L10" i="172"/>
  <c r="L10" i="169"/>
  <c r="L10" i="165"/>
  <c r="L10" i="168"/>
  <c r="L10" i="170"/>
  <c r="L10" i="166"/>
  <c r="L10" i="173"/>
  <c r="L10" i="167"/>
  <c r="L10" i="171"/>
  <c r="P24" i="162"/>
  <c r="P23" i="156"/>
  <c r="P24" i="91"/>
  <c r="P23" i="154"/>
  <c r="P23" i="160"/>
  <c r="P23" i="159"/>
  <c r="D40" i="154"/>
  <c r="X42" i="159"/>
  <c r="X42" i="156"/>
  <c r="AB35" i="156"/>
  <c r="AB33" i="156"/>
  <c r="D17" i="160"/>
  <c r="D18" i="91"/>
  <c r="D17" i="159"/>
  <c r="D18" i="162"/>
  <c r="L17" i="160"/>
  <c r="D17" i="154"/>
  <c r="L18" i="91"/>
  <c r="L17" i="156"/>
  <c r="L17" i="154"/>
  <c r="L18" i="162"/>
  <c r="L17" i="159"/>
  <c r="P16" i="91"/>
  <c r="P15" i="156"/>
  <c r="P15" i="154"/>
  <c r="P16" i="162"/>
  <c r="P15" i="160"/>
  <c r="P15" i="159"/>
  <c r="L9" i="160"/>
  <c r="L9" i="156"/>
  <c r="L9" i="154"/>
  <c r="L10" i="162"/>
  <c r="L10" i="91"/>
  <c r="L9" i="159"/>
  <c r="L16" i="170"/>
  <c r="L16" i="167"/>
  <c r="L16" i="166"/>
  <c r="L16" i="172"/>
  <c r="L16" i="168"/>
  <c r="L16" i="173"/>
  <c r="L16" i="171"/>
  <c r="L16" i="165"/>
  <c r="L16" i="169"/>
  <c r="L24" i="173"/>
  <c r="H24" i="172"/>
  <c r="D24" i="171"/>
  <c r="L24" i="169"/>
  <c r="L24" i="166"/>
  <c r="H24" i="169"/>
  <c r="H24" i="171"/>
  <c r="D24" i="165"/>
  <c r="H24" i="173"/>
  <c r="D24" i="172"/>
  <c r="L24" i="170"/>
  <c r="D24" i="167"/>
  <c r="H24" i="166"/>
  <c r="H24" i="167"/>
  <c r="D24" i="170"/>
  <c r="D24" i="173"/>
  <c r="L24" i="171"/>
  <c r="H24" i="170"/>
  <c r="L24" i="165"/>
  <c r="D24" i="166"/>
  <c r="D24" i="169"/>
  <c r="L24" i="172"/>
  <c r="H24" i="165"/>
  <c r="L24" i="167"/>
  <c r="L24" i="168"/>
  <c r="H24" i="168"/>
  <c r="D24" i="168"/>
  <c r="L7" i="169"/>
  <c r="L7" i="165"/>
  <c r="L7" i="167"/>
  <c r="L7" i="166"/>
  <c r="L7" i="170"/>
  <c r="L7" i="172"/>
  <c r="L7" i="171"/>
  <c r="L7" i="173"/>
  <c r="L7" i="168"/>
  <c r="H32" i="41"/>
  <c r="AB33" i="159"/>
  <c r="D20" i="162"/>
  <c r="L19" i="160"/>
  <c r="H20" i="162"/>
  <c r="L19" i="156"/>
  <c r="D20" i="91"/>
  <c r="D19" i="160"/>
  <c r="D19" i="159"/>
  <c r="H19" i="156"/>
  <c r="L20" i="91"/>
  <c r="L20" i="162"/>
  <c r="H19" i="160"/>
  <c r="H20" i="91"/>
  <c r="H19" i="154"/>
  <c r="L19" i="154"/>
  <c r="H19" i="159"/>
  <c r="L19" i="159"/>
  <c r="P18" i="170"/>
  <c r="P18" i="166"/>
  <c r="P18" i="172"/>
  <c r="P18" i="165"/>
  <c r="P18" i="173"/>
  <c r="P18" i="171"/>
  <c r="P18" i="169"/>
  <c r="P18" i="167"/>
  <c r="P18" i="168"/>
  <c r="L9" i="165"/>
  <c r="L9" i="173"/>
  <c r="L9" i="171"/>
  <c r="L9" i="166"/>
  <c r="L9" i="169"/>
  <c r="L9" i="167"/>
  <c r="L9" i="172"/>
  <c r="L9" i="168"/>
  <c r="L9" i="170"/>
  <c r="H15" i="41"/>
  <c r="AB16" i="159"/>
  <c r="H23" i="41"/>
  <c r="AB24" i="159"/>
  <c r="AB32" i="154"/>
  <c r="H31" i="41"/>
  <c r="AB32" i="159"/>
  <c r="T34" i="159"/>
  <c r="X39" i="159"/>
  <c r="X40" i="159"/>
  <c r="P18" i="160"/>
  <c r="P18" i="156"/>
  <c r="P19" i="162"/>
  <c r="P18" i="154"/>
  <c r="P19" i="91"/>
  <c r="P18" i="159"/>
  <c r="P11" i="91"/>
  <c r="P10" i="160"/>
  <c r="P10" i="156"/>
  <c r="P10" i="154"/>
  <c r="P11" i="162"/>
  <c r="P10" i="159"/>
  <c r="L15" i="162"/>
  <c r="L15" i="91"/>
  <c r="L14" i="156"/>
  <c r="L14" i="154"/>
  <c r="L14" i="160"/>
  <c r="L14" i="159"/>
  <c r="H17" i="173"/>
  <c r="H17" i="168"/>
  <c r="H17" i="166"/>
  <c r="H17" i="165"/>
  <c r="H17" i="172"/>
  <c r="H17" i="169"/>
  <c r="H17" i="167"/>
  <c r="H17" i="171"/>
  <c r="H17" i="170"/>
  <c r="H21" i="173"/>
  <c r="D21" i="170"/>
  <c r="D21" i="165"/>
  <c r="H21" i="165"/>
  <c r="H21" i="171"/>
  <c r="D21" i="173"/>
  <c r="H21" i="167"/>
  <c r="D21" i="172"/>
  <c r="H21" i="166"/>
  <c r="D21" i="166"/>
  <c r="H21" i="170"/>
  <c r="D21" i="171"/>
  <c r="H21" i="172"/>
  <c r="D21" i="167"/>
  <c r="L21" i="166"/>
  <c r="L21" i="171"/>
  <c r="L21" i="165"/>
  <c r="L21" i="170"/>
  <c r="L21" i="172"/>
  <c r="L21" i="173"/>
  <c r="L21" i="167"/>
  <c r="H21" i="169"/>
  <c r="H21" i="168"/>
  <c r="L21" i="169"/>
  <c r="D21" i="169"/>
  <c r="D21" i="168"/>
  <c r="L21" i="168"/>
  <c r="H12" i="172"/>
  <c r="H12" i="165"/>
  <c r="H12" i="170"/>
  <c r="H12" i="168"/>
  <c r="H12" i="167"/>
  <c r="H12" i="171"/>
  <c r="H12" i="173"/>
  <c r="H12" i="166"/>
  <c r="H12" i="169"/>
  <c r="P11" i="156"/>
  <c r="P12" i="91"/>
  <c r="P11" i="154"/>
  <c r="P12" i="162"/>
  <c r="P11" i="160"/>
  <c r="P11" i="159"/>
  <c r="D43" i="91"/>
  <c r="T8" i="156" l="1"/>
  <c r="AB8" i="156" s="1"/>
  <c r="T17" i="156"/>
  <c r="AB17" i="156" s="1"/>
  <c r="T16" i="156"/>
  <c r="AB16" i="156" s="1"/>
  <c r="T24" i="156"/>
  <c r="AB24" i="156" s="1"/>
  <c r="T19" i="156"/>
  <c r="AB19" i="156" s="1"/>
  <c r="T14" i="156"/>
  <c r="AB14" i="156" s="1"/>
  <c r="T12" i="156"/>
  <c r="AB12" i="156" s="1"/>
  <c r="T10" i="156"/>
  <c r="AB10" i="156" s="1"/>
  <c r="T9" i="156"/>
  <c r="AB9" i="156" s="1"/>
  <c r="T18" i="156"/>
  <c r="AB18" i="156" s="1"/>
  <c r="T11" i="156"/>
  <c r="AB11" i="156" s="1"/>
  <c r="T22" i="156"/>
  <c r="AB22" i="156" s="1"/>
  <c r="T15" i="156"/>
  <c r="AB15" i="156" s="1"/>
  <c r="T20" i="156"/>
  <c r="AB20" i="156" s="1"/>
  <c r="T25" i="156"/>
  <c r="AB25" i="156" s="1"/>
  <c r="T13" i="156"/>
  <c r="AB13" i="156" s="1"/>
  <c r="T23" i="156"/>
  <c r="AB23" i="156" s="1"/>
  <c r="T21" i="156"/>
  <c r="T7" i="156"/>
  <c r="J28" i="233"/>
  <c r="K28" i="233"/>
  <c r="I28" i="233"/>
  <c r="G28" i="233"/>
  <c r="H28" i="233"/>
  <c r="T11" i="91"/>
  <c r="T23" i="166"/>
  <c r="AB23" i="166" s="1"/>
  <c r="T20" i="171"/>
  <c r="AB20" i="171" s="1"/>
  <c r="L29" i="41"/>
  <c r="T10" i="91"/>
  <c r="T8" i="91"/>
  <c r="L21" i="41"/>
  <c r="T16" i="91"/>
  <c r="H43" i="162"/>
  <c r="T14" i="162"/>
  <c r="T24" i="154"/>
  <c r="AB24" i="154" s="1"/>
  <c r="T18" i="171"/>
  <c r="AB18" i="171" s="1"/>
  <c r="T7" i="165"/>
  <c r="T8" i="154"/>
  <c r="AB8" i="154" s="1"/>
  <c r="L16" i="41"/>
  <c r="T7" i="162"/>
  <c r="T7" i="159"/>
  <c r="AF7" i="159" s="1"/>
  <c r="T9" i="91"/>
  <c r="T11" i="168"/>
  <c r="AB11" i="168" s="1"/>
  <c r="T8" i="173"/>
  <c r="AB8" i="173" s="1"/>
  <c r="T8" i="159"/>
  <c r="AF8" i="159" s="1"/>
  <c r="T12" i="171"/>
  <c r="AB12" i="171" s="1"/>
  <c r="T14" i="159"/>
  <c r="AF14" i="159" s="1"/>
  <c r="T13" i="154"/>
  <c r="AB13" i="154" s="1"/>
  <c r="T12" i="169"/>
  <c r="AB12" i="169" s="1"/>
  <c r="T12" i="154"/>
  <c r="AB12" i="154" s="1"/>
  <c r="H42" i="91"/>
  <c r="T8" i="170"/>
  <c r="AB8" i="170" s="1"/>
  <c r="L11" i="41"/>
  <c r="D39" i="171"/>
  <c r="D44" i="91"/>
  <c r="T24" i="173"/>
  <c r="AB24" i="173" s="1"/>
  <c r="T16" i="169"/>
  <c r="AB16" i="169" s="1"/>
  <c r="T17" i="159"/>
  <c r="AF17" i="159" s="1"/>
  <c r="T14" i="169"/>
  <c r="AB14" i="169" s="1"/>
  <c r="T12" i="159"/>
  <c r="AF12" i="159" s="1"/>
  <c r="T13" i="169"/>
  <c r="AB13" i="169" s="1"/>
  <c r="L28" i="41"/>
  <c r="AF36" i="159"/>
  <c r="L10" i="41"/>
  <c r="T12" i="173"/>
  <c r="AB12" i="173" s="1"/>
  <c r="T10" i="159"/>
  <c r="AF10" i="159" s="1"/>
  <c r="T9" i="167"/>
  <c r="AB9" i="167" s="1"/>
  <c r="L26" i="41"/>
  <c r="T24" i="162"/>
  <c r="T12" i="160"/>
  <c r="T24" i="171"/>
  <c r="AB24" i="171" s="1"/>
  <c r="T25" i="162"/>
  <c r="T19" i="154"/>
  <c r="AB19" i="154" s="1"/>
  <c r="T7" i="167"/>
  <c r="AB7" i="167" s="1"/>
  <c r="T9" i="154"/>
  <c r="AB9" i="154" s="1"/>
  <c r="T9" i="160"/>
  <c r="T10" i="162"/>
  <c r="T13" i="168"/>
  <c r="AB13" i="168" s="1"/>
  <c r="T11" i="171"/>
  <c r="AB11" i="171" s="1"/>
  <c r="T12" i="172"/>
  <c r="AB12" i="172" s="1"/>
  <c r="L18" i="41"/>
  <c r="T8" i="166"/>
  <c r="AB8" i="166" s="1"/>
  <c r="D39" i="170"/>
  <c r="T25" i="91"/>
  <c r="T9" i="171"/>
  <c r="AB9" i="171" s="1"/>
  <c r="T9" i="170"/>
  <c r="AB9" i="170" s="1"/>
  <c r="T21" i="169"/>
  <c r="AB21" i="169" s="1"/>
  <c r="T9" i="173"/>
  <c r="AB9" i="173" s="1"/>
  <c r="T18" i="172"/>
  <c r="AB18" i="172" s="1"/>
  <c r="T7" i="173"/>
  <c r="AB7" i="173" s="1"/>
  <c r="T7" i="166"/>
  <c r="AB7" i="166" s="1"/>
  <c r="L30" i="41"/>
  <c r="T15" i="169"/>
  <c r="AB15" i="169" s="1"/>
  <c r="T14" i="154"/>
  <c r="AB14" i="154" s="1"/>
  <c r="T15" i="91"/>
  <c r="L27" i="41"/>
  <c r="T11" i="159"/>
  <c r="AF11" i="159" s="1"/>
  <c r="T13" i="160"/>
  <c r="T15" i="160"/>
  <c r="T13" i="167"/>
  <c r="AB13" i="167" s="1"/>
  <c r="T14" i="166"/>
  <c r="AB14" i="166" s="1"/>
  <c r="L13" i="41"/>
  <c r="T8" i="168"/>
  <c r="AB8" i="168" s="1"/>
  <c r="T13" i="170"/>
  <c r="AB13" i="170" s="1"/>
  <c r="L39" i="171"/>
  <c r="D39" i="166"/>
  <c r="T14" i="165"/>
  <c r="P43" i="162"/>
  <c r="T12" i="166"/>
  <c r="AB12" i="166" s="1"/>
  <c r="T12" i="168"/>
  <c r="AB12" i="168" s="1"/>
  <c r="T9" i="168"/>
  <c r="AB9" i="168" s="1"/>
  <c r="T9" i="166"/>
  <c r="AB9" i="166" s="1"/>
  <c r="T20" i="162"/>
  <c r="T23" i="170"/>
  <c r="AB23" i="170" s="1"/>
  <c r="T15" i="173"/>
  <c r="AB15" i="173" s="1"/>
  <c r="T15" i="170"/>
  <c r="AB15" i="170" s="1"/>
  <c r="T13" i="162"/>
  <c r="T20" i="170"/>
  <c r="AB20" i="170" s="1"/>
  <c r="T22" i="168"/>
  <c r="AB22" i="168" s="1"/>
  <c r="T22" i="167"/>
  <c r="T22" i="173"/>
  <c r="AB22" i="173" s="1"/>
  <c r="T15" i="159"/>
  <c r="AF15" i="159" s="1"/>
  <c r="T19" i="167"/>
  <c r="AB19" i="167" s="1"/>
  <c r="T8" i="172"/>
  <c r="AB8" i="172" s="1"/>
  <c r="T13" i="166"/>
  <c r="AB13" i="166" s="1"/>
  <c r="T13" i="171"/>
  <c r="AB13" i="171" s="1"/>
  <c r="D39" i="165"/>
  <c r="D39" i="172"/>
  <c r="T18" i="160"/>
  <c r="T16" i="168"/>
  <c r="AB16" i="168" s="1"/>
  <c r="T14" i="171"/>
  <c r="AB14" i="171" s="1"/>
  <c r="D39" i="173"/>
  <c r="T13" i="159"/>
  <c r="AF13" i="159" s="1"/>
  <c r="T17" i="172"/>
  <c r="AB17" i="172" s="1"/>
  <c r="P43" i="91"/>
  <c r="T12" i="167"/>
  <c r="AB12" i="167" s="1"/>
  <c r="T11" i="162"/>
  <c r="T9" i="172"/>
  <c r="AB9" i="172" s="1"/>
  <c r="T23" i="172"/>
  <c r="AB23" i="172" s="1"/>
  <c r="T15" i="162"/>
  <c r="L19" i="41"/>
  <c r="T8" i="160"/>
  <c r="T11" i="160"/>
  <c r="H43" i="91"/>
  <c r="T22" i="154"/>
  <c r="AB22" i="154" s="1"/>
  <c r="T23" i="162"/>
  <c r="T22" i="160"/>
  <c r="T13" i="173"/>
  <c r="AB13" i="173" s="1"/>
  <c r="T15" i="154"/>
  <c r="AB15" i="154" s="1"/>
  <c r="T21" i="162"/>
  <c r="T20" i="159"/>
  <c r="AF20" i="159" s="1"/>
  <c r="L43" i="162"/>
  <c r="T8" i="171"/>
  <c r="AB8" i="171" s="1"/>
  <c r="T8" i="167"/>
  <c r="AB8" i="167" s="1"/>
  <c r="T14" i="173"/>
  <c r="AB14" i="173" s="1"/>
  <c r="T14" i="168"/>
  <c r="AB14" i="168" s="1"/>
  <c r="T10" i="171"/>
  <c r="AB10" i="171" s="1"/>
  <c r="L44" i="91"/>
  <c r="T16" i="162"/>
  <c r="T13" i="91"/>
  <c r="L31" i="41"/>
  <c r="T9" i="159"/>
  <c r="AF9" i="159" s="1"/>
  <c r="T14" i="167"/>
  <c r="AB14" i="167" s="1"/>
  <c r="T10" i="160"/>
  <c r="D39" i="167"/>
  <c r="AF37" i="159"/>
  <c r="T23" i="169"/>
  <c r="AB23" i="169" s="1"/>
  <c r="T15" i="167"/>
  <c r="AB15" i="167" s="1"/>
  <c r="T15" i="165"/>
  <c r="T8" i="162"/>
  <c r="T14" i="160"/>
  <c r="P41" i="159"/>
  <c r="T14" i="172"/>
  <c r="AB14" i="172" s="1"/>
  <c r="T17" i="91"/>
  <c r="D39" i="160"/>
  <c r="L8" i="41"/>
  <c r="T23" i="91"/>
  <c r="T23" i="160"/>
  <c r="T23" i="167"/>
  <c r="T22" i="169"/>
  <c r="AB22" i="169" s="1"/>
  <c r="T12" i="170"/>
  <c r="AB12" i="170" s="1"/>
  <c r="T8" i="169"/>
  <c r="AB8" i="169" s="1"/>
  <c r="T10" i="154"/>
  <c r="AB10" i="154" s="1"/>
  <c r="T9" i="169"/>
  <c r="AB9" i="169" s="1"/>
  <c r="T9" i="165"/>
  <c r="T7" i="91"/>
  <c r="T22" i="162"/>
  <c r="L41" i="156"/>
  <c r="H41" i="160"/>
  <c r="T24" i="172"/>
  <c r="AB24" i="172" s="1"/>
  <c r="T19" i="162"/>
  <c r="L40" i="156"/>
  <c r="L39" i="156"/>
  <c r="T16" i="165"/>
  <c r="G10" i="187"/>
  <c r="G20" i="187" s="1"/>
  <c r="D40" i="160"/>
  <c r="AF29" i="159"/>
  <c r="T17" i="170"/>
  <c r="AB17" i="170" s="1"/>
  <c r="AB34" i="154"/>
  <c r="H40" i="154"/>
  <c r="H39" i="154"/>
  <c r="H39" i="168"/>
  <c r="H39" i="165"/>
  <c r="AF34" i="159"/>
  <c r="T18" i="166"/>
  <c r="AB18" i="166" s="1"/>
  <c r="T19" i="159"/>
  <c r="AF19" i="159" s="1"/>
  <c r="L39" i="172"/>
  <c r="L39" i="165"/>
  <c r="T14" i="91"/>
  <c r="T17" i="160"/>
  <c r="H10" i="191"/>
  <c r="H20" i="191" s="1"/>
  <c r="T7" i="154"/>
  <c r="T7" i="172"/>
  <c r="T23" i="173"/>
  <c r="AB23" i="173" s="1"/>
  <c r="T15" i="166"/>
  <c r="AB15" i="166" s="1"/>
  <c r="T18" i="159"/>
  <c r="AF18" i="159" s="1"/>
  <c r="P41" i="160"/>
  <c r="D40" i="159"/>
  <c r="L12" i="41"/>
  <c r="L42" i="91"/>
  <c r="H40" i="41"/>
  <c r="T21" i="166"/>
  <c r="AB21" i="166" s="1"/>
  <c r="T21" i="167"/>
  <c r="AF26" i="159"/>
  <c r="L7" i="41"/>
  <c r="L39" i="159"/>
  <c r="L40" i="159"/>
  <c r="L40" i="160"/>
  <c r="L39" i="160"/>
  <c r="L40" i="154"/>
  <c r="L39" i="154"/>
  <c r="T24" i="166"/>
  <c r="AB24" i="166" s="1"/>
  <c r="T16" i="167"/>
  <c r="AB16" i="167" s="1"/>
  <c r="T16" i="171"/>
  <c r="AB16" i="171" s="1"/>
  <c r="L24" i="41"/>
  <c r="T7" i="168"/>
  <c r="T19" i="166"/>
  <c r="AB19" i="166" s="1"/>
  <c r="T15" i="172"/>
  <c r="AB15" i="172" s="1"/>
  <c r="T24" i="160"/>
  <c r="T8" i="165"/>
  <c r="T18" i="168"/>
  <c r="AB18" i="168" s="1"/>
  <c r="T11" i="167"/>
  <c r="AB11" i="167" s="1"/>
  <c r="T11" i="169"/>
  <c r="AB11" i="169" s="1"/>
  <c r="T23" i="154"/>
  <c r="AB23" i="154" s="1"/>
  <c r="T24" i="91"/>
  <c r="T23" i="168"/>
  <c r="AB23" i="168" s="1"/>
  <c r="T21" i="91"/>
  <c r="T20" i="160"/>
  <c r="T22" i="171"/>
  <c r="AB22" i="171" s="1"/>
  <c r="T12" i="162"/>
  <c r="L43" i="91"/>
  <c r="L20" i="41"/>
  <c r="G10" i="191"/>
  <c r="G20" i="191" s="1"/>
  <c r="L35" i="41"/>
  <c r="L23" i="41"/>
  <c r="T20" i="167"/>
  <c r="T20" i="169"/>
  <c r="AB20" i="169" s="1"/>
  <c r="L41" i="159"/>
  <c r="T22" i="91"/>
  <c r="F10" i="177"/>
  <c r="T13" i="172"/>
  <c r="AB13" i="172" s="1"/>
  <c r="D39" i="169"/>
  <c r="T10" i="165"/>
  <c r="T10" i="166"/>
  <c r="AB10" i="166" s="1"/>
  <c r="T10" i="173"/>
  <c r="AB10" i="173" s="1"/>
  <c r="T19" i="172"/>
  <c r="AB19" i="172" s="1"/>
  <c r="T19" i="169"/>
  <c r="AB19" i="169" s="1"/>
  <c r="P42" i="162"/>
  <c r="P42" i="91"/>
  <c r="AB34" i="156"/>
  <c r="L25" i="41"/>
  <c r="T25" i="154"/>
  <c r="AB25" i="154" s="1"/>
  <c r="T25" i="160"/>
  <c r="T17" i="169"/>
  <c r="AB17" i="169" s="1"/>
  <c r="T17" i="173"/>
  <c r="AB17" i="173" s="1"/>
  <c r="F10" i="187"/>
  <c r="F20" i="187" s="1"/>
  <c r="AF30" i="159"/>
  <c r="H41" i="162"/>
  <c r="H40" i="162"/>
  <c r="H39" i="167"/>
  <c r="H39" i="173"/>
  <c r="H39" i="169"/>
  <c r="G10" i="177"/>
  <c r="H41" i="154"/>
  <c r="T21" i="173"/>
  <c r="AB21" i="173" s="1"/>
  <c r="T24" i="169"/>
  <c r="AB24" i="169" s="1"/>
  <c r="L9" i="41"/>
  <c r="T11" i="165"/>
  <c r="D40" i="162"/>
  <c r="H41" i="159"/>
  <c r="T12" i="91"/>
  <c r="I10" i="191"/>
  <c r="I20" i="191" s="1"/>
  <c r="T18" i="170"/>
  <c r="AB18" i="170" s="1"/>
  <c r="T19" i="160"/>
  <c r="L39" i="168"/>
  <c r="L39" i="170"/>
  <c r="L39" i="169"/>
  <c r="T18" i="91"/>
  <c r="AB42" i="156"/>
  <c r="T23" i="171"/>
  <c r="AB23" i="171" s="1"/>
  <c r="T23" i="165"/>
  <c r="H42" i="162"/>
  <c r="T19" i="91"/>
  <c r="T18" i="154"/>
  <c r="AB18" i="154" s="1"/>
  <c r="E10" i="177"/>
  <c r="P41" i="156"/>
  <c r="H41" i="41"/>
  <c r="L42" i="162"/>
  <c r="T16" i="160"/>
  <c r="T25" i="159"/>
  <c r="AF25" i="159" s="1"/>
  <c r="T21" i="171"/>
  <c r="AB21" i="171" s="1"/>
  <c r="T21" i="165"/>
  <c r="H39" i="41"/>
  <c r="H38" i="41"/>
  <c r="L41" i="91"/>
  <c r="L40" i="91"/>
  <c r="L32" i="41"/>
  <c r="T24" i="167"/>
  <c r="P25" i="173"/>
  <c r="T25" i="173" s="1"/>
  <c r="AB25" i="173" s="1"/>
  <c r="P25" i="170"/>
  <c r="T25" i="170" s="1"/>
  <c r="AB25" i="170" s="1"/>
  <c r="P25" i="169"/>
  <c r="T25" i="169" s="1"/>
  <c r="AB25" i="169" s="1"/>
  <c r="P25" i="171"/>
  <c r="T25" i="171" s="1"/>
  <c r="AB25" i="171" s="1"/>
  <c r="P25" i="166"/>
  <c r="T25" i="166" s="1"/>
  <c r="AB25" i="166" s="1"/>
  <c r="P25" i="165"/>
  <c r="T25" i="165" s="1"/>
  <c r="P25" i="172"/>
  <c r="T25" i="172" s="1"/>
  <c r="AB25" i="172" s="1"/>
  <c r="P25" i="167"/>
  <c r="T25" i="167" s="1"/>
  <c r="P25" i="168"/>
  <c r="T25" i="168" s="1"/>
  <c r="AB25" i="168" s="1"/>
  <c r="T16" i="170"/>
  <c r="AB16" i="170" s="1"/>
  <c r="T16" i="166"/>
  <c r="AB16" i="166" s="1"/>
  <c r="T19" i="168"/>
  <c r="AB19" i="168" s="1"/>
  <c r="T15" i="171"/>
  <c r="AB15" i="171" s="1"/>
  <c r="AF32" i="159"/>
  <c r="T18" i="167"/>
  <c r="AB18" i="167" s="1"/>
  <c r="T18" i="165"/>
  <c r="T11" i="170"/>
  <c r="AB11" i="170" s="1"/>
  <c r="T11" i="172"/>
  <c r="AB11" i="172" s="1"/>
  <c r="T23" i="159"/>
  <c r="AF23" i="159" s="1"/>
  <c r="T22" i="170"/>
  <c r="AB22" i="170" s="1"/>
  <c r="L41" i="154"/>
  <c r="P41" i="162"/>
  <c r="P40" i="162"/>
  <c r="P40" i="156"/>
  <c r="P39" i="156"/>
  <c r="T7" i="169"/>
  <c r="T20" i="168"/>
  <c r="AB20" i="168" s="1"/>
  <c r="T20" i="173"/>
  <c r="AB20" i="173" s="1"/>
  <c r="T21" i="154"/>
  <c r="AB21" i="154" s="1"/>
  <c r="D41" i="159"/>
  <c r="T21" i="159"/>
  <c r="L41" i="160"/>
  <c r="T7" i="160"/>
  <c r="AF31" i="159"/>
  <c r="T10" i="168"/>
  <c r="AB10" i="168" s="1"/>
  <c r="T10" i="167"/>
  <c r="AB10" i="167" s="1"/>
  <c r="T19" i="170"/>
  <c r="AB19" i="170" s="1"/>
  <c r="T19" i="171"/>
  <c r="AB19" i="171" s="1"/>
  <c r="T26" i="91"/>
  <c r="T12" i="165"/>
  <c r="T17" i="165"/>
  <c r="T17" i="166"/>
  <c r="AB17" i="166" s="1"/>
  <c r="I10" i="187"/>
  <c r="I20" i="187" s="1"/>
  <c r="H40" i="159"/>
  <c r="H39" i="159"/>
  <c r="H39" i="160"/>
  <c r="H40" i="160"/>
  <c r="H40" i="156"/>
  <c r="H39" i="156"/>
  <c r="H39" i="172"/>
  <c r="H39" i="171"/>
  <c r="F10" i="191"/>
  <c r="F20" i="191" s="1"/>
  <c r="L39" i="167"/>
  <c r="T11" i="154"/>
  <c r="T21" i="172"/>
  <c r="AB21" i="172" s="1"/>
  <c r="L41" i="162"/>
  <c r="L40" i="162"/>
  <c r="D44" i="162"/>
  <c r="T24" i="159"/>
  <c r="AF24" i="159" s="1"/>
  <c r="T20" i="154"/>
  <c r="AB20" i="154" s="1"/>
  <c r="C10" i="193"/>
  <c r="C20" i="193" s="1"/>
  <c r="P41" i="91"/>
  <c r="P40" i="91"/>
  <c r="P44" i="91"/>
  <c r="T10" i="169"/>
  <c r="AB10" i="169" s="1"/>
  <c r="T19" i="173"/>
  <c r="AB19" i="173" s="1"/>
  <c r="T26" i="162"/>
  <c r="P41" i="154"/>
  <c r="T21" i="168"/>
  <c r="AB21" i="168" s="1"/>
  <c r="T20" i="91"/>
  <c r="L39" i="173"/>
  <c r="L39" i="166"/>
  <c r="T24" i="168"/>
  <c r="AB24" i="168" s="1"/>
  <c r="T17" i="154"/>
  <c r="AB17" i="154" s="1"/>
  <c r="T18" i="162"/>
  <c r="AF33" i="159"/>
  <c r="D39" i="154"/>
  <c r="T7" i="170"/>
  <c r="T15" i="168"/>
  <c r="AB15" i="168" s="1"/>
  <c r="L33" i="41"/>
  <c r="T20" i="165"/>
  <c r="T20" i="166"/>
  <c r="AB20" i="166" s="1"/>
  <c r="AB42" i="159"/>
  <c r="L10" i="191" s="1"/>
  <c r="L20" i="191" s="1"/>
  <c r="D39" i="159"/>
  <c r="T7" i="171"/>
  <c r="T14" i="170"/>
  <c r="AB14" i="170" s="1"/>
  <c r="T16" i="154"/>
  <c r="AB16" i="154" s="1"/>
  <c r="T16" i="159"/>
  <c r="AF16" i="159" s="1"/>
  <c r="T17" i="162"/>
  <c r="T22" i="166"/>
  <c r="AB22" i="166" s="1"/>
  <c r="D41" i="154"/>
  <c r="AB41" i="159"/>
  <c r="T21" i="170"/>
  <c r="AB21" i="170" s="1"/>
  <c r="AB39" i="159"/>
  <c r="AB40" i="159"/>
  <c r="T24" i="170"/>
  <c r="AB24" i="170" s="1"/>
  <c r="T24" i="165"/>
  <c r="T16" i="172"/>
  <c r="AB16" i="172" s="1"/>
  <c r="T16" i="173"/>
  <c r="AB16" i="173" s="1"/>
  <c r="L44" i="162"/>
  <c r="L15" i="41"/>
  <c r="T18" i="169"/>
  <c r="AB18" i="169" s="1"/>
  <c r="T18" i="173"/>
  <c r="AB18" i="173" s="1"/>
  <c r="T11" i="173"/>
  <c r="AB11" i="173" s="1"/>
  <c r="T11" i="166"/>
  <c r="AB11" i="166" s="1"/>
  <c r="H44" i="91"/>
  <c r="H44" i="162"/>
  <c r="L36" i="41"/>
  <c r="T22" i="165"/>
  <c r="T22" i="172"/>
  <c r="AB22" i="172" s="1"/>
  <c r="T22" i="159"/>
  <c r="AF22" i="159" s="1"/>
  <c r="E10" i="193"/>
  <c r="E20" i="193" s="1"/>
  <c r="P40" i="159"/>
  <c r="P39" i="159"/>
  <c r="P39" i="160"/>
  <c r="P40" i="160"/>
  <c r="P40" i="154"/>
  <c r="P39" i="154"/>
  <c r="T20" i="172"/>
  <c r="AB20" i="172" s="1"/>
  <c r="P44" i="162"/>
  <c r="H41" i="156"/>
  <c r="D41" i="160"/>
  <c r="T21" i="160"/>
  <c r="L22" i="41"/>
  <c r="L14" i="41"/>
  <c r="T13" i="165"/>
  <c r="D40" i="91"/>
  <c r="T10" i="172"/>
  <c r="AB10" i="172" s="1"/>
  <c r="T10" i="170"/>
  <c r="AB10" i="170" s="1"/>
  <c r="T19" i="165"/>
  <c r="T9" i="162"/>
  <c r="T17" i="167"/>
  <c r="AB17" i="167" s="1"/>
  <c r="T17" i="168"/>
  <c r="AB17" i="168" s="1"/>
  <c r="T17" i="171"/>
  <c r="AB17" i="171" s="1"/>
  <c r="H41" i="91"/>
  <c r="H40" i="91"/>
  <c r="H39" i="166"/>
  <c r="H39" i="170"/>
  <c r="AF28" i="159"/>
  <c r="E10" i="223" l="1"/>
  <c r="E20" i="223" s="1"/>
  <c r="E20" i="177"/>
  <c r="G10" i="223"/>
  <c r="G20" i="223" s="1"/>
  <c r="G20" i="177"/>
  <c r="G26" i="177" s="1"/>
  <c r="F10" i="223"/>
  <c r="F20" i="223" s="1"/>
  <c r="F20" i="177"/>
  <c r="F26" i="177" s="1"/>
  <c r="L10" i="192"/>
  <c r="L26" i="191"/>
  <c r="F10" i="221"/>
  <c r="F20" i="221" s="1"/>
  <c r="I10" i="221"/>
  <c r="I20" i="221" s="1"/>
  <c r="G10" i="221"/>
  <c r="G20" i="221" s="1"/>
  <c r="H10" i="221"/>
  <c r="H20" i="221" s="1"/>
  <c r="D12" i="33"/>
  <c r="L12" i="33" s="1"/>
  <c r="D13" i="33"/>
  <c r="L13" i="33" s="1"/>
  <c r="D8" i="33"/>
  <c r="L8" i="33" s="1"/>
  <c r="D19" i="33"/>
  <c r="L19" i="33" s="1"/>
  <c r="AB25" i="167"/>
  <c r="D25" i="33"/>
  <c r="L25" i="33" s="1"/>
  <c r="AB24" i="167"/>
  <c r="D24" i="33"/>
  <c r="L24" i="33" s="1"/>
  <c r="AB21" i="167"/>
  <c r="D21" i="33"/>
  <c r="L21" i="33" s="1"/>
  <c r="AB20" i="167"/>
  <c r="D20" i="33"/>
  <c r="L20" i="33" s="1"/>
  <c r="AB23" i="167"/>
  <c r="D23" i="33"/>
  <c r="L23" i="33" s="1"/>
  <c r="AB22" i="167"/>
  <c r="D22" i="33"/>
  <c r="L22" i="33" s="1"/>
  <c r="D17" i="33"/>
  <c r="L17" i="33" s="1"/>
  <c r="D18" i="33"/>
  <c r="L18" i="33" s="1"/>
  <c r="D11" i="33"/>
  <c r="L11" i="33" s="1"/>
  <c r="D10" i="33"/>
  <c r="L10" i="33" s="1"/>
  <c r="D16" i="33"/>
  <c r="L16" i="33" s="1"/>
  <c r="AB14" i="165"/>
  <c r="D14" i="33"/>
  <c r="L14" i="33" s="1"/>
  <c r="AB9" i="165"/>
  <c r="D9" i="33"/>
  <c r="L9" i="33" s="1"/>
  <c r="AB15" i="165"/>
  <c r="D15" i="33"/>
  <c r="L15" i="33" s="1"/>
  <c r="AB7" i="165"/>
  <c r="D7" i="33"/>
  <c r="L7" i="33" s="1"/>
  <c r="T42" i="91"/>
  <c r="T41" i="162"/>
  <c r="T41" i="91"/>
  <c r="T42" i="162"/>
  <c r="T43" i="162"/>
  <c r="T43" i="91"/>
  <c r="T44" i="162"/>
  <c r="T41" i="160"/>
  <c r="L41" i="41"/>
  <c r="L10" i="193" s="1"/>
  <c r="L20" i="193" s="1"/>
  <c r="AF42" i="159"/>
  <c r="P10" i="191" s="1"/>
  <c r="P20" i="191" s="1"/>
  <c r="AB11" i="154"/>
  <c r="AB41" i="154" s="1"/>
  <c r="I10" i="177" s="1"/>
  <c r="T41" i="154"/>
  <c r="C10" i="177" s="1"/>
  <c r="F26" i="191"/>
  <c r="F10" i="192"/>
  <c r="F20" i="192" s="1"/>
  <c r="I10" i="194"/>
  <c r="I20" i="194" s="1"/>
  <c r="I26" i="187"/>
  <c r="AB7" i="154"/>
  <c r="T40" i="154"/>
  <c r="B10" i="177" s="1"/>
  <c r="T39" i="154"/>
  <c r="D10" i="177" s="1"/>
  <c r="AB24" i="165"/>
  <c r="K10" i="191"/>
  <c r="K20" i="191" s="1"/>
  <c r="AB20" i="165"/>
  <c r="C10" i="184"/>
  <c r="C20" i="184" s="1"/>
  <c r="C26" i="193"/>
  <c r="AB7" i="156"/>
  <c r="T40" i="156"/>
  <c r="B10" i="187" s="1"/>
  <c r="B20" i="187" s="1"/>
  <c r="T39" i="156"/>
  <c r="E10" i="187" s="1"/>
  <c r="E20" i="187" s="1"/>
  <c r="T39" i="160"/>
  <c r="E10" i="190" s="1"/>
  <c r="E20" i="190" s="1"/>
  <c r="T40" i="160"/>
  <c r="B10" i="190" s="1"/>
  <c r="B20" i="190" s="1"/>
  <c r="AB7" i="169"/>
  <c r="AB18" i="165"/>
  <c r="E10" i="180"/>
  <c r="E20" i="180" s="1"/>
  <c r="E26" i="177"/>
  <c r="AB23" i="165"/>
  <c r="AB10" i="165"/>
  <c r="F10" i="180"/>
  <c r="F20" i="180" s="1"/>
  <c r="L40" i="41"/>
  <c r="AB8" i="165"/>
  <c r="G10" i="193"/>
  <c r="G20" i="193" s="1"/>
  <c r="T44" i="91"/>
  <c r="G10" i="194"/>
  <c r="G20" i="194" s="1"/>
  <c r="G26" i="187"/>
  <c r="AF40" i="159"/>
  <c r="N10" i="191" s="1"/>
  <c r="N20" i="191" s="1"/>
  <c r="T40" i="91"/>
  <c r="P26" i="172"/>
  <c r="P26" i="171"/>
  <c r="P26" i="170"/>
  <c r="T26" i="170" s="1"/>
  <c r="AB26" i="170" s="1"/>
  <c r="P26" i="169"/>
  <c r="P26" i="165"/>
  <c r="T26" i="165" s="1"/>
  <c r="P26" i="173"/>
  <c r="T26" i="173" s="1"/>
  <c r="AB26" i="173" s="1"/>
  <c r="P26" i="167"/>
  <c r="T26" i="167" s="1"/>
  <c r="P26" i="166"/>
  <c r="P26" i="168"/>
  <c r="H10" i="193"/>
  <c r="H20" i="193" s="1"/>
  <c r="F10" i="194"/>
  <c r="F20" i="194" s="1"/>
  <c r="F26" i="187"/>
  <c r="G10" i="192"/>
  <c r="G20" i="192" s="1"/>
  <c r="G26" i="191"/>
  <c r="AB13" i="165"/>
  <c r="AB22" i="165"/>
  <c r="AB7" i="170"/>
  <c r="AB17" i="165"/>
  <c r="T41" i="159"/>
  <c r="C10" i="191" s="1"/>
  <c r="C20" i="191" s="1"/>
  <c r="AF21" i="159"/>
  <c r="AF41" i="159" s="1"/>
  <c r="O10" i="191" s="1"/>
  <c r="O20" i="191" s="1"/>
  <c r="AB25" i="165"/>
  <c r="I10" i="193"/>
  <c r="I20" i="193" s="1"/>
  <c r="AB21" i="165"/>
  <c r="AB7" i="168"/>
  <c r="AB16" i="165"/>
  <c r="T40" i="159"/>
  <c r="B10" i="191" s="1"/>
  <c r="B20" i="191" s="1"/>
  <c r="L38" i="41"/>
  <c r="T40" i="162"/>
  <c r="AB19" i="165"/>
  <c r="M10" i="191"/>
  <c r="M20" i="191" s="1"/>
  <c r="AB11" i="165"/>
  <c r="G10" i="180"/>
  <c r="G20" i="180" s="1"/>
  <c r="T41" i="156"/>
  <c r="C10" i="187" s="1"/>
  <c r="C20" i="187" s="1"/>
  <c r="AB21" i="156"/>
  <c r="AB41" i="156" s="1"/>
  <c r="K10" i="187" s="1"/>
  <c r="K20" i="187" s="1"/>
  <c r="E26" i="193"/>
  <c r="E10" i="184"/>
  <c r="E20" i="184" s="1"/>
  <c r="J10" i="191"/>
  <c r="J20" i="191" s="1"/>
  <c r="AB7" i="171"/>
  <c r="AB12" i="165"/>
  <c r="I10" i="192"/>
  <c r="I20" i="192" s="1"/>
  <c r="I26" i="191"/>
  <c r="AB7" i="172"/>
  <c r="H10" i="192"/>
  <c r="H20" i="192" s="1"/>
  <c r="H26" i="191"/>
  <c r="T39" i="159"/>
  <c r="E10" i="191" s="1"/>
  <c r="E20" i="191" s="1"/>
  <c r="L39" i="41"/>
  <c r="C10" i="223" l="1"/>
  <c r="C20" i="223" s="1"/>
  <c r="C20" i="177"/>
  <c r="C26" i="177" s="1"/>
  <c r="I10" i="223"/>
  <c r="I20" i="223" s="1"/>
  <c r="I20" i="177"/>
  <c r="L20" i="192"/>
  <c r="L26" i="192" s="1"/>
  <c r="D10" i="223"/>
  <c r="D20" i="223" s="1"/>
  <c r="D20" i="177"/>
  <c r="B10" i="223"/>
  <c r="B20" i="223" s="1"/>
  <c r="B20" i="177"/>
  <c r="B26" i="177" s="1"/>
  <c r="F11" i="175"/>
  <c r="F22" i="175" s="1"/>
  <c r="F28" i="175" s="1"/>
  <c r="P11" i="175"/>
  <c r="P22" i="175" s="1"/>
  <c r="O11" i="175"/>
  <c r="O22" i="175" s="1"/>
  <c r="E11" i="175"/>
  <c r="E22" i="175" s="1"/>
  <c r="D11" i="175"/>
  <c r="N11" i="175"/>
  <c r="N22" i="175" s="1"/>
  <c r="P10" i="221"/>
  <c r="P20" i="221" s="1"/>
  <c r="O26" i="191"/>
  <c r="B26" i="190"/>
  <c r="B10" i="221"/>
  <c r="B20" i="221" s="1"/>
  <c r="C10" i="221"/>
  <c r="C20" i="221" s="1"/>
  <c r="E10" i="221"/>
  <c r="E20" i="221" s="1"/>
  <c r="F11" i="174"/>
  <c r="F22" i="174" s="1"/>
  <c r="P11" i="174"/>
  <c r="P22" i="174" s="1"/>
  <c r="I26" i="177"/>
  <c r="B11" i="174"/>
  <c r="L11" i="174"/>
  <c r="L22" i="174" s="1"/>
  <c r="D26" i="177"/>
  <c r="B11" i="175"/>
  <c r="B11" i="199" s="1"/>
  <c r="B22" i="199" s="1"/>
  <c r="L11" i="175"/>
  <c r="L22" i="175" s="1"/>
  <c r="C11" i="174"/>
  <c r="M11" i="174"/>
  <c r="M22" i="174" s="1"/>
  <c r="C11" i="175"/>
  <c r="M11" i="175"/>
  <c r="M22" i="175" s="1"/>
  <c r="AB26" i="167"/>
  <c r="K10" i="194"/>
  <c r="K20" i="194" s="1"/>
  <c r="K26" i="187"/>
  <c r="I10" i="184"/>
  <c r="I20" i="184" s="1"/>
  <c r="I26" i="193"/>
  <c r="T26" i="166"/>
  <c r="I10" i="225"/>
  <c r="I27" i="224"/>
  <c r="E10" i="194"/>
  <c r="E20" i="194" s="1"/>
  <c r="E26" i="187"/>
  <c r="C10" i="194"/>
  <c r="C20" i="194" s="1"/>
  <c r="C26" i="187"/>
  <c r="B10" i="192"/>
  <c r="B20" i="192" s="1"/>
  <c r="B26" i="191"/>
  <c r="C26" i="191"/>
  <c r="C10" i="192"/>
  <c r="C20" i="192" s="1"/>
  <c r="F26" i="221"/>
  <c r="F10" i="222"/>
  <c r="P26" i="191"/>
  <c r="P10" i="192"/>
  <c r="P20" i="192" s="1"/>
  <c r="G26" i="194"/>
  <c r="K10" i="193"/>
  <c r="F26" i="180"/>
  <c r="E26" i="180"/>
  <c r="B10" i="194"/>
  <c r="B20" i="194" s="1"/>
  <c r="B26" i="187"/>
  <c r="C26" i="184"/>
  <c r="L10" i="221"/>
  <c r="L20" i="221" s="1"/>
  <c r="B10" i="180"/>
  <c r="B20" i="180" s="1"/>
  <c r="I10" i="222"/>
  <c r="I26" i="221"/>
  <c r="O10" i="192"/>
  <c r="O20" i="192" s="1"/>
  <c r="P27" i="173"/>
  <c r="P27" i="167"/>
  <c r="T27" i="167" s="1"/>
  <c r="P27" i="166"/>
  <c r="T27" i="166" s="1"/>
  <c r="AB27" i="166" s="1"/>
  <c r="P27" i="172"/>
  <c r="T27" i="172" s="1"/>
  <c r="AB27" i="172" s="1"/>
  <c r="P27" i="170"/>
  <c r="P27" i="165"/>
  <c r="T27" i="165" s="1"/>
  <c r="P27" i="169"/>
  <c r="T27" i="169" s="1"/>
  <c r="AB27" i="169" s="1"/>
  <c r="P27" i="171"/>
  <c r="T27" i="171" s="1"/>
  <c r="AB27" i="171" s="1"/>
  <c r="P27" i="168"/>
  <c r="T27" i="168" s="1"/>
  <c r="AB27" i="168" s="1"/>
  <c r="K27" i="224"/>
  <c r="K10" i="225"/>
  <c r="F26" i="192"/>
  <c r="H26" i="192"/>
  <c r="E26" i="184"/>
  <c r="G26" i="180"/>
  <c r="M10" i="192"/>
  <c r="M20" i="192" s="1"/>
  <c r="M26" i="191"/>
  <c r="M10" i="221"/>
  <c r="M20" i="221" s="1"/>
  <c r="M10" i="193"/>
  <c r="M20" i="193" s="1"/>
  <c r="G26" i="192"/>
  <c r="H10" i="184"/>
  <c r="H20" i="184" s="1"/>
  <c r="H26" i="193"/>
  <c r="T26" i="171"/>
  <c r="N26" i="191"/>
  <c r="N10" i="192"/>
  <c r="N20" i="192" s="1"/>
  <c r="G10" i="184"/>
  <c r="G20" i="184" s="1"/>
  <c r="G26" i="193"/>
  <c r="G10" i="225"/>
  <c r="G27" i="224"/>
  <c r="F26" i="223"/>
  <c r="F10" i="220"/>
  <c r="B10" i="189"/>
  <c r="B20" i="189" s="1"/>
  <c r="AB40" i="156"/>
  <c r="J10" i="187" s="1"/>
  <c r="J20" i="187" s="1"/>
  <c r="AB39" i="156"/>
  <c r="M10" i="187" s="1"/>
  <c r="M20" i="187" s="1"/>
  <c r="AB40" i="154"/>
  <c r="H10" i="177" s="1"/>
  <c r="AB39" i="154"/>
  <c r="J10" i="177" s="1"/>
  <c r="I26" i="194"/>
  <c r="C10" i="180"/>
  <c r="C20" i="180" s="1"/>
  <c r="I26" i="192"/>
  <c r="J10" i="192"/>
  <c r="J20" i="192" s="1"/>
  <c r="J26" i="191"/>
  <c r="J10" i="221"/>
  <c r="J20" i="221" s="1"/>
  <c r="F26" i="194"/>
  <c r="T26" i="169"/>
  <c r="D10" i="180"/>
  <c r="D20" i="180" s="1"/>
  <c r="E10" i="192"/>
  <c r="E20" i="192" s="1"/>
  <c r="E26" i="191"/>
  <c r="H26" i="221"/>
  <c r="H10" i="222"/>
  <c r="G10" i="220"/>
  <c r="G26" i="223"/>
  <c r="G26" i="221"/>
  <c r="G10" i="222"/>
  <c r="T26" i="168"/>
  <c r="AB26" i="165"/>
  <c r="T26" i="172"/>
  <c r="AF39" i="159"/>
  <c r="Q10" i="191" s="1"/>
  <c r="Q20" i="191" s="1"/>
  <c r="E10" i="220"/>
  <c r="E26" i="223"/>
  <c r="E10" i="189"/>
  <c r="E20" i="189" s="1"/>
  <c r="E26" i="190"/>
  <c r="K26" i="191"/>
  <c r="K10" i="192"/>
  <c r="K20" i="192" s="1"/>
  <c r="K10" i="221"/>
  <c r="K20" i="221" s="1"/>
  <c r="L10" i="184"/>
  <c r="L20" i="184" s="1"/>
  <c r="L26" i="193"/>
  <c r="I10" i="180"/>
  <c r="I20" i="180" s="1"/>
  <c r="H27" i="224"/>
  <c r="H10" i="225"/>
  <c r="J27" i="224"/>
  <c r="J10" i="225"/>
  <c r="F20" i="220" l="1"/>
  <c r="K21" i="225"/>
  <c r="I21" i="225"/>
  <c r="J21" i="225"/>
  <c r="J27" i="225" s="1"/>
  <c r="E20" i="220"/>
  <c r="G20" i="220"/>
  <c r="I20" i="222"/>
  <c r="F20" i="222"/>
  <c r="F26" i="222" s="1"/>
  <c r="H21" i="225"/>
  <c r="G20" i="222"/>
  <c r="H20" i="222"/>
  <c r="H26" i="222" s="1"/>
  <c r="G21" i="225"/>
  <c r="G27" i="225" s="1"/>
  <c r="F11" i="199"/>
  <c r="F22" i="199" s="1"/>
  <c r="F11" i="198"/>
  <c r="F22" i="198" s="1"/>
  <c r="F28" i="198" s="1"/>
  <c r="C11" i="198"/>
  <c r="C22" i="198" s="1"/>
  <c r="C28" i="198" s="1"/>
  <c r="C22" i="174"/>
  <c r="C28" i="174" s="1"/>
  <c r="C11" i="199"/>
  <c r="C22" i="199" s="1"/>
  <c r="C28" i="199" s="1"/>
  <c r="C22" i="175"/>
  <c r="C28" i="175" s="1"/>
  <c r="D10" i="224"/>
  <c r="D21" i="224" s="1"/>
  <c r="D22" i="175"/>
  <c r="D28" i="175" s="1"/>
  <c r="B22" i="174"/>
  <c r="B28" i="174" s="1"/>
  <c r="B22" i="175"/>
  <c r="B28" i="175" s="1"/>
  <c r="J10" i="223"/>
  <c r="J20" i="223" s="1"/>
  <c r="J20" i="177"/>
  <c r="J26" i="177" s="1"/>
  <c r="O10" i="221"/>
  <c r="O20" i="221" s="1"/>
  <c r="K20" i="193"/>
  <c r="K26" i="193" s="1"/>
  <c r="H10" i="223"/>
  <c r="H20" i="223" s="1"/>
  <c r="H20" i="177"/>
  <c r="H26" i="177" s="1"/>
  <c r="P10" i="224"/>
  <c r="P21" i="224" s="1"/>
  <c r="B11" i="198"/>
  <c r="B22" i="198" s="1"/>
  <c r="B28" i="198" s="1"/>
  <c r="D11" i="199"/>
  <c r="N28" i="175"/>
  <c r="N11" i="199"/>
  <c r="N10" i="224"/>
  <c r="N21" i="224" s="1"/>
  <c r="E11" i="199"/>
  <c r="E28" i="175"/>
  <c r="E10" i="224"/>
  <c r="O28" i="175"/>
  <c r="O11" i="199"/>
  <c r="O10" i="224"/>
  <c r="O21" i="224" s="1"/>
  <c r="N10" i="221"/>
  <c r="N20" i="221" s="1"/>
  <c r="Q10" i="221"/>
  <c r="Q20" i="221" s="1"/>
  <c r="M10" i="224"/>
  <c r="M21" i="224" s="1"/>
  <c r="L10" i="224"/>
  <c r="L21" i="224" s="1"/>
  <c r="C10" i="224"/>
  <c r="C21" i="224" s="1"/>
  <c r="B10" i="224"/>
  <c r="F28" i="174"/>
  <c r="F10" i="224"/>
  <c r="M11" i="199"/>
  <c r="M28" i="175"/>
  <c r="M11" i="198"/>
  <c r="M28" i="174"/>
  <c r="L11" i="199"/>
  <c r="L28" i="175"/>
  <c r="L11" i="198"/>
  <c r="L28" i="174"/>
  <c r="P11" i="198"/>
  <c r="P28" i="174"/>
  <c r="D26" i="33"/>
  <c r="P11" i="199"/>
  <c r="P28" i="175"/>
  <c r="E26" i="189"/>
  <c r="B26" i="189"/>
  <c r="O26" i="192"/>
  <c r="B26" i="192"/>
  <c r="E26" i="192"/>
  <c r="C26" i="192"/>
  <c r="N26" i="192"/>
  <c r="B26" i="194"/>
  <c r="K26" i="194"/>
  <c r="C26" i="194"/>
  <c r="E26" i="194"/>
  <c r="I26" i="180"/>
  <c r="C26" i="180"/>
  <c r="B26" i="180"/>
  <c r="D26" i="180"/>
  <c r="F28" i="199"/>
  <c r="B28" i="199"/>
  <c r="N28" i="233"/>
  <c r="M28" i="233"/>
  <c r="C28" i="233"/>
  <c r="F28" i="233"/>
  <c r="B28" i="233"/>
  <c r="D28" i="233"/>
  <c r="O28" i="233"/>
  <c r="E28" i="233"/>
  <c r="H26" i="184"/>
  <c r="M26" i="221"/>
  <c r="M10" i="222"/>
  <c r="AB27" i="167"/>
  <c r="I26" i="184"/>
  <c r="I10" i="220"/>
  <c r="I26" i="223"/>
  <c r="K26" i="192"/>
  <c r="D10" i="220"/>
  <c r="D26" i="223"/>
  <c r="J26" i="221"/>
  <c r="J10" i="222"/>
  <c r="C26" i="223"/>
  <c r="C10" i="220"/>
  <c r="J10" i="194"/>
  <c r="J20" i="194" s="1"/>
  <c r="J26" i="187"/>
  <c r="AB26" i="171"/>
  <c r="M10" i="184"/>
  <c r="M20" i="184" s="1"/>
  <c r="M26" i="193"/>
  <c r="K27" i="225"/>
  <c r="T27" i="170"/>
  <c r="T27" i="173"/>
  <c r="B10" i="220"/>
  <c r="B26" i="223"/>
  <c r="K10" i="184"/>
  <c r="K20" i="184" s="1"/>
  <c r="E26" i="221"/>
  <c r="E10" i="222"/>
  <c r="P10" i="222"/>
  <c r="P26" i="221"/>
  <c r="AB26" i="166"/>
  <c r="K26" i="221"/>
  <c r="K10" i="222"/>
  <c r="M10" i="194"/>
  <c r="M20" i="194" s="1"/>
  <c r="M26" i="187"/>
  <c r="AB27" i="165"/>
  <c r="Q26" i="191"/>
  <c r="Q10" i="192"/>
  <c r="Q20" i="192" s="1"/>
  <c r="AB26" i="172"/>
  <c r="G26" i="222"/>
  <c r="B26" i="221"/>
  <c r="B10" i="222"/>
  <c r="J10" i="180"/>
  <c r="J20" i="180" s="1"/>
  <c r="G26" i="184"/>
  <c r="P28" i="165"/>
  <c r="T28" i="165" s="1"/>
  <c r="P28" i="172"/>
  <c r="P28" i="171"/>
  <c r="P28" i="170"/>
  <c r="T28" i="170" s="1"/>
  <c r="AB28" i="170" s="1"/>
  <c r="P28" i="169"/>
  <c r="P28" i="173"/>
  <c r="T28" i="173" s="1"/>
  <c r="AB28" i="173" s="1"/>
  <c r="P28" i="166"/>
  <c r="P28" i="167"/>
  <c r="T28" i="167" s="1"/>
  <c r="P28" i="168"/>
  <c r="C10" i="222"/>
  <c r="C26" i="221"/>
  <c r="P26" i="192"/>
  <c r="E26" i="220"/>
  <c r="G26" i="220"/>
  <c r="J26" i="192"/>
  <c r="H27" i="225"/>
  <c r="AB26" i="168"/>
  <c r="L26" i="184"/>
  <c r="AB26" i="169"/>
  <c r="H10" i="180"/>
  <c r="H20" i="180" s="1"/>
  <c r="F26" i="220"/>
  <c r="M26" i="192"/>
  <c r="I26" i="222"/>
  <c r="L10" i="222"/>
  <c r="L26" i="221"/>
  <c r="I27" i="225"/>
  <c r="L20" i="222" l="1"/>
  <c r="C20" i="222"/>
  <c r="B20" i="222"/>
  <c r="C20" i="220"/>
  <c r="C26" i="220" s="1"/>
  <c r="I20" i="220"/>
  <c r="D20" i="220"/>
  <c r="K20" i="222"/>
  <c r="P20" i="222"/>
  <c r="P26" i="222" s="1"/>
  <c r="J20" i="222"/>
  <c r="E20" i="222"/>
  <c r="B20" i="220"/>
  <c r="M20" i="222"/>
  <c r="M26" i="222" s="1"/>
  <c r="M22" i="199"/>
  <c r="M28" i="199" s="1"/>
  <c r="O22" i="199"/>
  <c r="O28" i="199" s="1"/>
  <c r="E22" i="199"/>
  <c r="E28" i="199" s="1"/>
  <c r="D22" i="199"/>
  <c r="D28" i="199" s="1"/>
  <c r="M22" i="198"/>
  <c r="M28" i="198" s="1"/>
  <c r="E21" i="224"/>
  <c r="E27" i="224" s="1"/>
  <c r="N22" i="199"/>
  <c r="N28" i="199" s="1"/>
  <c r="P22" i="198"/>
  <c r="P28" i="198" s="1"/>
  <c r="L22" i="199"/>
  <c r="L28" i="199" s="1"/>
  <c r="B10" i="225"/>
  <c r="B21" i="224"/>
  <c r="B27" i="224" s="1"/>
  <c r="L22" i="198"/>
  <c r="L28" i="198" s="1"/>
  <c r="F21" i="224"/>
  <c r="F27" i="224" s="1"/>
  <c r="P22" i="199"/>
  <c r="P28" i="199" s="1"/>
  <c r="E10" i="225"/>
  <c r="F10" i="225"/>
  <c r="D27" i="33"/>
  <c r="L27" i="33" s="1"/>
  <c r="C26" i="222"/>
  <c r="B26" i="222"/>
  <c r="E26" i="222"/>
  <c r="I26" i="220"/>
  <c r="D26" i="220"/>
  <c r="B26" i="220"/>
  <c r="O26" i="221"/>
  <c r="O10" i="222"/>
  <c r="Q26" i="192"/>
  <c r="M26" i="194"/>
  <c r="J26" i="194"/>
  <c r="J26" i="180"/>
  <c r="H26" i="180"/>
  <c r="N28" i="234"/>
  <c r="E28" i="234"/>
  <c r="D28" i="234"/>
  <c r="C28" i="234"/>
  <c r="F28" i="234"/>
  <c r="O28" i="234"/>
  <c r="B28" i="234"/>
  <c r="M28" i="234"/>
  <c r="L28" i="233"/>
  <c r="P28" i="233"/>
  <c r="D10" i="225"/>
  <c r="D27" i="224"/>
  <c r="O27" i="224"/>
  <c r="C10" i="225"/>
  <c r="C27" i="224"/>
  <c r="M27" i="224"/>
  <c r="N10" i="225"/>
  <c r="N27" i="224"/>
  <c r="M10" i="225"/>
  <c r="O10" i="225"/>
  <c r="AB28" i="167"/>
  <c r="T28" i="166"/>
  <c r="T28" i="171"/>
  <c r="J26" i="223"/>
  <c r="J10" i="220"/>
  <c r="AB27" i="173"/>
  <c r="N26" i="221"/>
  <c r="N10" i="222"/>
  <c r="T28" i="172"/>
  <c r="M26" i="184"/>
  <c r="J26" i="222"/>
  <c r="P29" i="173"/>
  <c r="P29" i="166"/>
  <c r="T29" i="166" s="1"/>
  <c r="AB29" i="166" s="1"/>
  <c r="P29" i="171"/>
  <c r="T29" i="171" s="1"/>
  <c r="AB29" i="171" s="1"/>
  <c r="P29" i="165"/>
  <c r="P29" i="172"/>
  <c r="T29" i="172" s="1"/>
  <c r="AB29" i="172" s="1"/>
  <c r="P29" i="170"/>
  <c r="T29" i="170" s="1"/>
  <c r="AB29" i="170" s="1"/>
  <c r="P29" i="167"/>
  <c r="P29" i="169"/>
  <c r="T29" i="169" s="1"/>
  <c r="AB29" i="169" s="1"/>
  <c r="P29" i="168"/>
  <c r="K26" i="222"/>
  <c r="L26" i="222"/>
  <c r="H26" i="223"/>
  <c r="H10" i="220"/>
  <c r="L26" i="33"/>
  <c r="T28" i="168"/>
  <c r="T28" i="169"/>
  <c r="AB28" i="165"/>
  <c r="Q10" i="222"/>
  <c r="Q26" i="221"/>
  <c r="K26" i="184"/>
  <c r="AB27" i="170"/>
  <c r="N20" i="222" l="1"/>
  <c r="J20" i="220"/>
  <c r="J26" i="220" s="1"/>
  <c r="N21" i="225"/>
  <c r="O21" i="225"/>
  <c r="E21" i="225"/>
  <c r="E27" i="225" s="1"/>
  <c r="M21" i="225"/>
  <c r="D21" i="225"/>
  <c r="O20" i="222"/>
  <c r="O26" i="222" s="1"/>
  <c r="B21" i="225"/>
  <c r="B27" i="225" s="1"/>
  <c r="Q20" i="222"/>
  <c r="Q26" i="222" s="1"/>
  <c r="H20" i="220"/>
  <c r="C21" i="225"/>
  <c r="C27" i="225" s="1"/>
  <c r="F21" i="225"/>
  <c r="F27" i="225" s="1"/>
  <c r="AB39" i="170"/>
  <c r="G10" i="42" s="1"/>
  <c r="G21" i="42" s="1"/>
  <c r="G27" i="42" s="1"/>
  <c r="D28" i="33"/>
  <c r="L28" i="33" s="1"/>
  <c r="N26" i="222"/>
  <c r="H26" i="220"/>
  <c r="P28" i="234"/>
  <c r="L28" i="234"/>
  <c r="M27" i="225"/>
  <c r="D27" i="225"/>
  <c r="O27" i="225"/>
  <c r="N27" i="225"/>
  <c r="L27" i="224"/>
  <c r="P27" i="224"/>
  <c r="L10" i="225"/>
  <c r="P10" i="225"/>
  <c r="T39" i="170"/>
  <c r="P39" i="168"/>
  <c r="P39" i="169"/>
  <c r="AB28" i="168"/>
  <c r="T29" i="165"/>
  <c r="P39" i="165"/>
  <c r="P39" i="166"/>
  <c r="T29" i="173"/>
  <c r="P39" i="173"/>
  <c r="T29" i="167"/>
  <c r="P39" i="167"/>
  <c r="P39" i="172"/>
  <c r="AB28" i="166"/>
  <c r="AB39" i="166" s="1"/>
  <c r="C10" i="42" s="1"/>
  <c r="C21" i="42" s="1"/>
  <c r="T39" i="166"/>
  <c r="AB28" i="171"/>
  <c r="AB39" i="171" s="1"/>
  <c r="I10" i="42" s="1"/>
  <c r="I21" i="42" s="1"/>
  <c r="T39" i="171"/>
  <c r="AB28" i="169"/>
  <c r="AB39" i="169" s="1"/>
  <c r="F10" i="42" s="1"/>
  <c r="F21" i="42" s="1"/>
  <c r="T39" i="169"/>
  <c r="P39" i="170"/>
  <c r="AB28" i="172"/>
  <c r="AB39" i="172" s="1"/>
  <c r="J10" i="42" s="1"/>
  <c r="J21" i="42" s="1"/>
  <c r="T39" i="172"/>
  <c r="P39" i="171"/>
  <c r="L21" i="225" l="1"/>
  <c r="P21" i="225"/>
  <c r="P27" i="225" s="1"/>
  <c r="G10" i="196"/>
  <c r="L27" i="225"/>
  <c r="H27" i="196"/>
  <c r="C10" i="196"/>
  <c r="C27" i="42"/>
  <c r="I10" i="196"/>
  <c r="I27" i="42"/>
  <c r="J10" i="196"/>
  <c r="J27" i="42"/>
  <c r="AB29" i="173"/>
  <c r="AB39" i="173" s="1"/>
  <c r="K10" i="42" s="1"/>
  <c r="K21" i="42" s="1"/>
  <c r="T39" i="173"/>
  <c r="F10" i="196"/>
  <c r="F27" i="42"/>
  <c r="AB29" i="167"/>
  <c r="AB39" i="167" s="1"/>
  <c r="D10" i="42" s="1"/>
  <c r="D21" i="42" s="1"/>
  <c r="T39" i="167"/>
  <c r="AB29" i="165"/>
  <c r="T39" i="165"/>
  <c r="F21" i="196" l="1"/>
  <c r="J21" i="196"/>
  <c r="C21" i="196"/>
  <c r="C27" i="196" s="1"/>
  <c r="G21" i="196"/>
  <c r="G27" i="196" s="1"/>
  <c r="I21" i="196"/>
  <c r="AB39" i="165"/>
  <c r="B10" i="42" s="1"/>
  <c r="B21" i="42" s="1"/>
  <c r="B27" i="42" s="1"/>
  <c r="F27" i="196"/>
  <c r="J27" i="196"/>
  <c r="I27" i="196"/>
  <c r="D10" i="196"/>
  <c r="D27" i="42"/>
  <c r="K10" i="196"/>
  <c r="K27" i="42"/>
  <c r="K21" i="196" l="1"/>
  <c r="K27" i="196" s="1"/>
  <c r="D21" i="196"/>
  <c r="D27" i="196" s="1"/>
  <c r="B10" i="196"/>
  <c r="B21" i="196" l="1"/>
  <c r="B27" i="196" s="1"/>
  <c r="AA68" i="53" l="1"/>
  <c r="X36" i="53"/>
  <c r="X68" i="53" s="1"/>
  <c r="T36" i="53"/>
  <c r="T68" i="53" s="1"/>
  <c r="V36" i="53"/>
  <c r="V68" i="53" s="1"/>
  <c r="U36" i="53"/>
  <c r="U68" i="53" s="1"/>
  <c r="W36" i="53"/>
  <c r="W68" i="53" s="1"/>
  <c r="Z36" i="53"/>
  <c r="Z68" i="53" s="1"/>
  <c r="Y36" i="53"/>
  <c r="Y68" i="53" s="1"/>
  <c r="S36" i="53"/>
  <c r="S68" i="53" s="1"/>
  <c r="R68" i="53"/>
  <c r="Q36" i="53"/>
  <c r="Q68" i="53" s="1"/>
  <c r="P36" i="53"/>
  <c r="P68" i="53" s="1"/>
  <c r="O36" i="53"/>
  <c r="O68" i="53" s="1"/>
  <c r="AF68" i="53"/>
  <c r="AB36" i="53"/>
  <c r="AB68" i="53" s="1"/>
  <c r="AC36" i="53"/>
  <c r="AC68" i="53" s="1"/>
  <c r="AG68" i="53"/>
  <c r="E36" i="53" l="1"/>
  <c r="E68" i="53" s="1"/>
  <c r="J36" i="53"/>
  <c r="J68" i="53" s="1"/>
  <c r="I36" i="53"/>
  <c r="I68" i="53" s="1"/>
  <c r="G36" i="53"/>
  <c r="G68" i="53" s="1"/>
  <c r="D36" i="53"/>
  <c r="D68" i="53" s="1"/>
  <c r="F36" i="53"/>
  <c r="F68" i="53" s="1"/>
  <c r="B68" i="53"/>
  <c r="K36" i="53"/>
  <c r="K68" i="53" s="1"/>
  <c r="C36" i="53"/>
  <c r="C68" i="53" s="1"/>
  <c r="L68" i="53"/>
  <c r="AI68" i="53" s="1"/>
  <c r="AH36" i="53"/>
  <c r="AG48" i="53"/>
  <c r="AA48" i="53" l="1"/>
  <c r="U16" i="53"/>
  <c r="U48" i="53" s="1"/>
  <c r="Y16" i="53"/>
  <c r="Y48" i="53" s="1"/>
  <c r="S16" i="53"/>
  <c r="S48" i="53" s="1"/>
  <c r="Z16" i="53"/>
  <c r="Z48" i="53" s="1"/>
  <c r="V16" i="53"/>
  <c r="V48" i="53" s="1"/>
  <c r="X16" i="53"/>
  <c r="X48" i="53" s="1"/>
  <c r="T16" i="53"/>
  <c r="T48" i="53" s="1"/>
  <c r="W16" i="53"/>
  <c r="W48" i="53" s="1"/>
  <c r="F16" i="53"/>
  <c r="F48" i="53" s="1"/>
  <c r="L48" i="53"/>
  <c r="G16" i="53"/>
  <c r="G48" i="53" s="1"/>
  <c r="J16" i="53"/>
  <c r="J48" i="53" s="1"/>
  <c r="AH16" i="53"/>
  <c r="K16" i="53"/>
  <c r="K48" i="53" s="1"/>
  <c r="D16" i="53"/>
  <c r="D48" i="53" s="1"/>
  <c r="C16" i="53"/>
  <c r="C48" i="53" s="1"/>
  <c r="E16" i="53"/>
  <c r="E48" i="53" s="1"/>
  <c r="I16" i="53"/>
  <c r="I48" i="53" s="1"/>
  <c r="B16" i="53"/>
  <c r="B48" i="53" s="1"/>
  <c r="O16" i="53"/>
  <c r="O48" i="53" s="1"/>
  <c r="R48" i="53"/>
  <c r="P16" i="53"/>
  <c r="P48" i="53" s="1"/>
  <c r="AF48" i="53"/>
  <c r="AC16" i="53"/>
  <c r="AC48" i="53" s="1"/>
  <c r="AB16" i="53"/>
  <c r="AB48" i="53" s="1"/>
  <c r="AI48" i="53" l="1"/>
  <c r="AG54" i="53" l="1"/>
  <c r="B22" i="53" l="1"/>
  <c r="B54" i="53" s="1"/>
  <c r="G22" i="53"/>
  <c r="G54" i="53" s="1"/>
  <c r="I22" i="53"/>
  <c r="I54" i="53" s="1"/>
  <c r="L54" i="53"/>
  <c r="K22" i="53"/>
  <c r="K54" i="53" s="1"/>
  <c r="C22" i="53"/>
  <c r="C54" i="53" s="1"/>
  <c r="F22" i="53"/>
  <c r="F54" i="53" s="1"/>
  <c r="J22" i="53"/>
  <c r="J54" i="53" s="1"/>
  <c r="D22" i="53"/>
  <c r="D54" i="53" s="1"/>
  <c r="E22" i="53"/>
  <c r="E54" i="53" s="1"/>
  <c r="AH22" i="53" l="1"/>
  <c r="AA54" i="53"/>
  <c r="U22" i="53"/>
  <c r="U54" i="53" s="1"/>
  <c r="Z22" i="53"/>
  <c r="Z54" i="53" s="1"/>
  <c r="Y22" i="53"/>
  <c r="Y54" i="53" s="1"/>
  <c r="X22" i="53"/>
  <c r="X54" i="53" s="1"/>
  <c r="W22" i="53"/>
  <c r="W54" i="53" s="1"/>
  <c r="S22" i="53"/>
  <c r="S54" i="53" s="1"/>
  <c r="T22" i="53"/>
  <c r="T54" i="53" s="1"/>
  <c r="V22" i="53"/>
  <c r="V54" i="53" s="1"/>
  <c r="AF54" i="53"/>
  <c r="AC22" i="53"/>
  <c r="AC54" i="53" s="1"/>
  <c r="AB22" i="53"/>
  <c r="AB54" i="53" s="1"/>
  <c r="R54" i="53"/>
  <c r="O22" i="53"/>
  <c r="O54" i="53" s="1"/>
  <c r="Q22" i="53"/>
  <c r="Q54" i="53" s="1"/>
  <c r="P22" i="53"/>
  <c r="P54" i="53" s="1"/>
  <c r="AI54" i="53" l="1"/>
  <c r="E14" i="53" l="1"/>
  <c r="E46" i="53" s="1"/>
  <c r="F14" i="53"/>
  <c r="F46" i="53" s="1"/>
  <c r="B14" i="53"/>
  <c r="B46" i="53" s="1"/>
  <c r="G14" i="53"/>
  <c r="G46" i="53" s="1"/>
  <c r="D14" i="53"/>
  <c r="D46" i="53" s="1"/>
  <c r="J14" i="53"/>
  <c r="J46" i="53" s="1"/>
  <c r="C14" i="53"/>
  <c r="C46" i="53" s="1"/>
  <c r="K14" i="53"/>
  <c r="K46" i="53" s="1"/>
  <c r="I14" i="53"/>
  <c r="I46" i="53" s="1"/>
  <c r="L46" i="53"/>
  <c r="AG46" i="53"/>
  <c r="AF46" i="53" l="1"/>
  <c r="AB14" i="53"/>
  <c r="AB46" i="53" s="1"/>
  <c r="AC14" i="53"/>
  <c r="AC46" i="53" s="1"/>
  <c r="AH14" i="53" l="1"/>
  <c r="Q14" i="53"/>
  <c r="Q46" i="53" s="1"/>
  <c r="P14" i="53"/>
  <c r="P46" i="53" s="1"/>
  <c r="O14" i="53"/>
  <c r="O46" i="53" s="1"/>
  <c r="R46" i="53"/>
  <c r="AA46" i="53"/>
  <c r="U14" i="53"/>
  <c r="U46" i="53" s="1"/>
  <c r="Y14" i="53"/>
  <c r="Y46" i="53" s="1"/>
  <c r="V14" i="53"/>
  <c r="V46" i="53" s="1"/>
  <c r="W14" i="53"/>
  <c r="W46" i="53" s="1"/>
  <c r="X14" i="53"/>
  <c r="X46" i="53" s="1"/>
  <c r="Z14" i="53"/>
  <c r="Z46" i="53" s="1"/>
  <c r="S14" i="53"/>
  <c r="S46" i="53" s="1"/>
  <c r="T14" i="53"/>
  <c r="T46" i="53" s="1"/>
  <c r="AI46" i="53" l="1"/>
  <c r="AB18" i="53" l="1"/>
  <c r="AB50" i="53" s="1"/>
  <c r="AC18" i="53"/>
  <c r="AC50" i="53" s="1"/>
  <c r="AF50" i="53"/>
  <c r="D18" i="53"/>
  <c r="D50" i="53" s="1"/>
  <c r="I18" i="53"/>
  <c r="I50" i="53" s="1"/>
  <c r="B18" i="53"/>
  <c r="B50" i="53" s="1"/>
  <c r="J18" i="53"/>
  <c r="J50" i="53" s="1"/>
  <c r="C18" i="53"/>
  <c r="C50" i="53" s="1"/>
  <c r="G18" i="53"/>
  <c r="G50" i="53" s="1"/>
  <c r="F18" i="53"/>
  <c r="F50" i="53" s="1"/>
  <c r="K18" i="53"/>
  <c r="K50" i="53" s="1"/>
  <c r="L50" i="53"/>
  <c r="E18" i="53"/>
  <c r="E50" i="53" s="1"/>
  <c r="AG50" i="53"/>
  <c r="AA50" i="53" l="1"/>
  <c r="Z18" i="53"/>
  <c r="Z50" i="53" s="1"/>
  <c r="X18" i="53"/>
  <c r="X50" i="53" s="1"/>
  <c r="S18" i="53"/>
  <c r="S50" i="53" s="1"/>
  <c r="U18" i="53"/>
  <c r="U50" i="53" s="1"/>
  <c r="W18" i="53"/>
  <c r="W50" i="53" s="1"/>
  <c r="T18" i="53"/>
  <c r="T50" i="53" s="1"/>
  <c r="V18" i="53"/>
  <c r="V50" i="53" s="1"/>
  <c r="Y18" i="53"/>
  <c r="Y50" i="53" s="1"/>
  <c r="P18" i="53" l="1"/>
  <c r="P50" i="53" s="1"/>
  <c r="O18" i="53"/>
  <c r="O50" i="53" s="1"/>
  <c r="Q18" i="53"/>
  <c r="Q50" i="53" s="1"/>
  <c r="R50" i="53"/>
  <c r="AI50" i="53" s="1"/>
  <c r="AH18" i="53"/>
  <c r="K34" i="53" l="1"/>
  <c r="K66" i="53" s="1"/>
  <c r="G34" i="53"/>
  <c r="G66" i="53" s="1"/>
  <c r="D34" i="53"/>
  <c r="D66" i="53" s="1"/>
  <c r="E34" i="53"/>
  <c r="E66" i="53" s="1"/>
  <c r="F34" i="53"/>
  <c r="F66" i="53" s="1"/>
  <c r="B34" i="53"/>
  <c r="B66" i="53" s="1"/>
  <c r="J34" i="53"/>
  <c r="J66" i="53" s="1"/>
  <c r="I34" i="53"/>
  <c r="I66" i="53" s="1"/>
  <c r="C34" i="53"/>
  <c r="C66" i="53" s="1"/>
  <c r="L66" i="53"/>
  <c r="AG66" i="53"/>
  <c r="AH34" i="53" l="1"/>
  <c r="AB34" i="53"/>
  <c r="AB66" i="53" s="1"/>
  <c r="AC34" i="53"/>
  <c r="AC66" i="53" s="1"/>
  <c r="AF66" i="53"/>
  <c r="AA66" i="53"/>
  <c r="V34" i="53"/>
  <c r="V66" i="53" s="1"/>
  <c r="U34" i="53"/>
  <c r="U66" i="53" s="1"/>
  <c r="X34" i="53"/>
  <c r="X66" i="53" s="1"/>
  <c r="S34" i="53"/>
  <c r="S66" i="53" s="1"/>
  <c r="T34" i="53"/>
  <c r="T66" i="53" s="1"/>
  <c r="Y34" i="53"/>
  <c r="Y66" i="53" s="1"/>
  <c r="Z34" i="53"/>
  <c r="Z66" i="53" s="1"/>
  <c r="W34" i="53"/>
  <c r="W66" i="53" s="1"/>
  <c r="P34" i="53"/>
  <c r="P66" i="53" s="1"/>
  <c r="Q34" i="53"/>
  <c r="Q66" i="53" s="1"/>
  <c r="O34" i="53"/>
  <c r="O66" i="53" s="1"/>
  <c r="R66" i="53"/>
  <c r="AI66" i="53" l="1"/>
  <c r="J26" i="53" l="1"/>
  <c r="J58" i="53" s="1"/>
  <c r="G26" i="53"/>
  <c r="G58" i="53" s="1"/>
  <c r="B26" i="53"/>
  <c r="B58" i="53" s="1"/>
  <c r="D26" i="53"/>
  <c r="D58" i="53" s="1"/>
  <c r="F26" i="53"/>
  <c r="F58" i="53" s="1"/>
  <c r="K26" i="53"/>
  <c r="K58" i="53" s="1"/>
  <c r="C26" i="53"/>
  <c r="C58" i="53" s="1"/>
  <c r="I26" i="53"/>
  <c r="I58" i="53" s="1"/>
  <c r="L58" i="53"/>
  <c r="E26" i="53"/>
  <c r="E58" i="53" s="1"/>
  <c r="AG52" i="53"/>
  <c r="AA52" i="53" l="1"/>
  <c r="U20" i="53"/>
  <c r="U52" i="53" s="1"/>
  <c r="V20" i="53"/>
  <c r="V52" i="53" s="1"/>
  <c r="W20" i="53"/>
  <c r="W52" i="53" s="1"/>
  <c r="X20" i="53"/>
  <c r="X52" i="53" s="1"/>
  <c r="T20" i="53"/>
  <c r="T52" i="53" s="1"/>
  <c r="Y20" i="53"/>
  <c r="Y52" i="53" s="1"/>
  <c r="S20" i="53"/>
  <c r="S52" i="53" s="1"/>
  <c r="Z20" i="53"/>
  <c r="Z52" i="53" s="1"/>
  <c r="G28" i="53"/>
  <c r="G60" i="53" s="1"/>
  <c r="E28" i="53"/>
  <c r="E60" i="53" s="1"/>
  <c r="K28" i="53"/>
  <c r="K60" i="53" s="1"/>
  <c r="D28" i="53"/>
  <c r="D60" i="53" s="1"/>
  <c r="F28" i="53"/>
  <c r="F60" i="53" s="1"/>
  <c r="L60" i="53"/>
  <c r="J28" i="53"/>
  <c r="J60" i="53" s="1"/>
  <c r="C28" i="53"/>
  <c r="C60" i="53" s="1"/>
  <c r="B28" i="53"/>
  <c r="B60" i="53" s="1"/>
  <c r="I28" i="53"/>
  <c r="I60" i="53" s="1"/>
  <c r="P20" i="53"/>
  <c r="P52" i="53" s="1"/>
  <c r="R52" i="53"/>
  <c r="O20" i="53"/>
  <c r="O52" i="53" s="1"/>
  <c r="Q20" i="53"/>
  <c r="Q52" i="53" s="1"/>
  <c r="AC20" i="53"/>
  <c r="AC52" i="53" s="1"/>
  <c r="AF52" i="53"/>
  <c r="AB20" i="53"/>
  <c r="AB52" i="53" s="1"/>
  <c r="D20" i="53" l="1"/>
  <c r="D52" i="53" s="1"/>
  <c r="F20" i="53"/>
  <c r="F52" i="53" s="1"/>
  <c r="G20" i="53"/>
  <c r="G52" i="53" s="1"/>
  <c r="L52" i="53"/>
  <c r="J20" i="53"/>
  <c r="J52" i="53" s="1"/>
  <c r="I20" i="53"/>
  <c r="I52" i="53" s="1"/>
  <c r="B20" i="53"/>
  <c r="B52" i="53" s="1"/>
  <c r="C20" i="53"/>
  <c r="C52" i="53" s="1"/>
  <c r="K20" i="53"/>
  <c r="K52" i="53" s="1"/>
  <c r="E20" i="53"/>
  <c r="E52" i="53" s="1"/>
  <c r="AH20" i="53"/>
  <c r="J24" i="53" l="1"/>
  <c r="J56" i="53" s="1"/>
  <c r="I24" i="53"/>
  <c r="I56" i="53" s="1"/>
  <c r="G24" i="53"/>
  <c r="G56" i="53" s="1"/>
  <c r="C24" i="53"/>
  <c r="C56" i="53" s="1"/>
  <c r="E24" i="53"/>
  <c r="E56" i="53" s="1"/>
  <c r="B24" i="53"/>
  <c r="B56" i="53" s="1"/>
  <c r="K24" i="53"/>
  <c r="K56" i="53" s="1"/>
  <c r="F24" i="53"/>
  <c r="F56" i="53" s="1"/>
  <c r="D24" i="53"/>
  <c r="D56" i="53" s="1"/>
  <c r="L56" i="53"/>
  <c r="AI52" i="53"/>
  <c r="AG56" i="53"/>
  <c r="AF56" i="53" l="1"/>
  <c r="AB24" i="53"/>
  <c r="AB56" i="53" s="1"/>
  <c r="AC24" i="53"/>
  <c r="AC56" i="53" s="1"/>
  <c r="AH24" i="53"/>
  <c r="Q24" i="53"/>
  <c r="Q56" i="53" s="1"/>
  <c r="P24" i="53"/>
  <c r="P56" i="53" s="1"/>
  <c r="O24" i="53"/>
  <c r="O56" i="53" s="1"/>
  <c r="R56" i="53"/>
  <c r="AA56" i="53"/>
  <c r="X24" i="53"/>
  <c r="X56" i="53" s="1"/>
  <c r="T24" i="53"/>
  <c r="T56" i="53" s="1"/>
  <c r="S24" i="53"/>
  <c r="S56" i="53" s="1"/>
  <c r="U24" i="53"/>
  <c r="U56" i="53" s="1"/>
  <c r="Z24" i="53"/>
  <c r="Z56" i="53" s="1"/>
  <c r="W24" i="53"/>
  <c r="W56" i="53" s="1"/>
  <c r="V24" i="53"/>
  <c r="V56" i="53" s="1"/>
  <c r="Y24" i="53"/>
  <c r="Y56" i="53" s="1"/>
  <c r="AI56" i="53" l="1"/>
  <c r="AG58" i="53"/>
  <c r="AG60" i="53"/>
  <c r="AA58" i="53" l="1"/>
  <c r="T26" i="53"/>
  <c r="T58" i="53" s="1"/>
  <c r="W26" i="53"/>
  <c r="W58" i="53" s="1"/>
  <c r="Y26" i="53"/>
  <c r="Y58" i="53" s="1"/>
  <c r="S26" i="53"/>
  <c r="S58" i="53" s="1"/>
  <c r="X26" i="53"/>
  <c r="X58" i="53" s="1"/>
  <c r="V26" i="53"/>
  <c r="V58" i="53" s="1"/>
  <c r="Z26" i="53"/>
  <c r="Z58" i="53" s="1"/>
  <c r="U26" i="53"/>
  <c r="U58" i="53" s="1"/>
  <c r="AB28" i="53"/>
  <c r="AB60" i="53" s="1"/>
  <c r="AF60" i="53"/>
  <c r="AC28" i="53"/>
  <c r="AC60" i="53" s="1"/>
  <c r="R60" i="53"/>
  <c r="Q28" i="53"/>
  <c r="Q60" i="53" s="1"/>
  <c r="P28" i="53"/>
  <c r="P60" i="53" s="1"/>
  <c r="O28" i="53"/>
  <c r="O60" i="53" s="1"/>
  <c r="AH28" i="53"/>
  <c r="AB26" i="53"/>
  <c r="AB58" i="53" s="1"/>
  <c r="AF58" i="53"/>
  <c r="AC26" i="53"/>
  <c r="AC58" i="53" s="1"/>
  <c r="R58" i="53"/>
  <c r="Q26" i="53"/>
  <c r="Q58" i="53" s="1"/>
  <c r="P26" i="53"/>
  <c r="P58" i="53" s="1"/>
  <c r="O26" i="53"/>
  <c r="O58" i="53" s="1"/>
  <c r="AH26" i="53"/>
  <c r="AA60" i="53"/>
  <c r="X28" i="53"/>
  <c r="X60" i="53" s="1"/>
  <c r="V28" i="53"/>
  <c r="V60" i="53" s="1"/>
  <c r="T28" i="53"/>
  <c r="T60" i="53" s="1"/>
  <c r="Y28" i="53"/>
  <c r="Y60" i="53" s="1"/>
  <c r="W28" i="53"/>
  <c r="W60" i="53" s="1"/>
  <c r="U28" i="53"/>
  <c r="U60" i="53" s="1"/>
  <c r="S28" i="53"/>
  <c r="S60" i="53" s="1"/>
  <c r="Z28" i="53"/>
  <c r="Z60" i="53" s="1"/>
  <c r="AI60" i="53" l="1"/>
  <c r="AI58" i="53"/>
  <c r="AG64" i="53" l="1"/>
  <c r="AB32" i="53" l="1"/>
  <c r="AB64" i="53" s="1"/>
  <c r="AC32" i="53"/>
  <c r="AC64" i="53" s="1"/>
  <c r="AF64" i="53"/>
  <c r="B32" i="53"/>
  <c r="B64" i="53" s="1"/>
  <c r="J32" i="53"/>
  <c r="J64" i="53" s="1"/>
  <c r="L64" i="53"/>
  <c r="I32" i="53"/>
  <c r="I64" i="53" s="1"/>
  <c r="G32" i="53"/>
  <c r="G64" i="53" s="1"/>
  <c r="E32" i="53"/>
  <c r="E64" i="53" s="1"/>
  <c r="F32" i="53"/>
  <c r="F64" i="53" s="1"/>
  <c r="K32" i="53"/>
  <c r="K64" i="53" s="1"/>
  <c r="D32" i="53"/>
  <c r="D64" i="53" s="1"/>
  <c r="C32" i="53"/>
  <c r="C64" i="53" s="1"/>
  <c r="AH32" i="53"/>
  <c r="Q32" i="53"/>
  <c r="Q64" i="53" s="1"/>
  <c r="P32" i="53"/>
  <c r="P64" i="53" s="1"/>
  <c r="O32" i="53"/>
  <c r="O64" i="53" s="1"/>
  <c r="R64" i="53"/>
  <c r="AA64" i="53"/>
  <c r="S32" i="53"/>
  <c r="S64" i="53" s="1"/>
  <c r="V32" i="53"/>
  <c r="V64" i="53" s="1"/>
  <c r="Z32" i="53"/>
  <c r="Z64" i="53" s="1"/>
  <c r="U32" i="53"/>
  <c r="U64" i="53" s="1"/>
  <c r="Y32" i="53"/>
  <c r="Y64" i="53" s="1"/>
  <c r="X32" i="53"/>
  <c r="X64" i="53" s="1"/>
  <c r="W32" i="53"/>
  <c r="W64" i="53" s="1"/>
  <c r="T32" i="53"/>
  <c r="T64" i="53" s="1"/>
  <c r="AI64" i="53" l="1"/>
  <c r="AG70" i="53" l="1"/>
  <c r="AG72" i="53"/>
  <c r="P38" i="53" l="1"/>
  <c r="P70" i="53" s="1"/>
  <c r="Q38" i="53"/>
  <c r="Q70" i="53" s="1"/>
  <c r="R70" i="53"/>
  <c r="O38" i="53"/>
  <c r="O70" i="53" s="1"/>
  <c r="AA72" i="53"/>
  <c r="Z40" i="53"/>
  <c r="Z72" i="53" s="1"/>
  <c r="S40" i="53"/>
  <c r="S72" i="53" s="1"/>
  <c r="V40" i="53"/>
  <c r="V72" i="53" s="1"/>
  <c r="Y40" i="53"/>
  <c r="Y72" i="53" s="1"/>
  <c r="W40" i="53"/>
  <c r="W72" i="53" s="1"/>
  <c r="T40" i="53"/>
  <c r="T72" i="53" s="1"/>
  <c r="X40" i="53"/>
  <c r="X72" i="53" s="1"/>
  <c r="U40" i="53"/>
  <c r="U72" i="53" s="1"/>
  <c r="AF70" i="53"/>
  <c r="AC38" i="53"/>
  <c r="AC70" i="53" s="1"/>
  <c r="AB38" i="53"/>
  <c r="AB70" i="53" s="1"/>
  <c r="E38" i="53"/>
  <c r="E70" i="53" s="1"/>
  <c r="D38" i="53"/>
  <c r="D70" i="53" s="1"/>
  <c r="AH38" i="53"/>
  <c r="G38" i="53"/>
  <c r="G70" i="53" s="1"/>
  <c r="F38" i="53"/>
  <c r="F70" i="53" s="1"/>
  <c r="L70" i="53"/>
  <c r="B38" i="53"/>
  <c r="B70" i="53" s="1"/>
  <c r="K38" i="53"/>
  <c r="K70" i="53" s="1"/>
  <c r="J38" i="53"/>
  <c r="J70" i="53" s="1"/>
  <c r="I38" i="53"/>
  <c r="I70" i="53" s="1"/>
  <c r="C38" i="53"/>
  <c r="C70" i="53" s="1"/>
  <c r="AC40" i="53"/>
  <c r="AC72" i="53" s="1"/>
  <c r="AB40" i="53"/>
  <c r="AB72" i="53" s="1"/>
  <c r="AF72" i="53"/>
  <c r="D40" i="53"/>
  <c r="D72" i="53" s="1"/>
  <c r="C40" i="53"/>
  <c r="C72" i="53" s="1"/>
  <c r="AH40" i="53"/>
  <c r="B40" i="53"/>
  <c r="B72" i="53" s="1"/>
  <c r="G40" i="53"/>
  <c r="G72" i="53" s="1"/>
  <c r="I40" i="53"/>
  <c r="I72" i="53" s="1"/>
  <c r="E40" i="53"/>
  <c r="E72" i="53" s="1"/>
  <c r="K40" i="53"/>
  <c r="K72" i="53" s="1"/>
  <c r="J40" i="53"/>
  <c r="J72" i="53" s="1"/>
  <c r="L72" i="53"/>
  <c r="F40" i="53"/>
  <c r="F72" i="53" s="1"/>
  <c r="AG74" i="53"/>
  <c r="O40" i="53"/>
  <c r="O72" i="53" s="1"/>
  <c r="P40" i="53"/>
  <c r="P72" i="53" s="1"/>
  <c r="R72" i="53"/>
  <c r="Q40" i="53"/>
  <c r="Q72" i="53" s="1"/>
  <c r="AA70" i="53"/>
  <c r="W38" i="53"/>
  <c r="W70" i="53" s="1"/>
  <c r="V38" i="53"/>
  <c r="V70" i="53" s="1"/>
  <c r="T38" i="53"/>
  <c r="T70" i="53" s="1"/>
  <c r="Z38" i="53"/>
  <c r="Z70" i="53" s="1"/>
  <c r="X38" i="53"/>
  <c r="X70" i="53" s="1"/>
  <c r="U38" i="53"/>
  <c r="U70" i="53" s="1"/>
  <c r="S38" i="53"/>
  <c r="S70" i="53" s="1"/>
  <c r="Y38" i="53"/>
  <c r="Y70" i="53" s="1"/>
  <c r="J74" i="53" l="1"/>
  <c r="J76" i="53" s="1"/>
  <c r="J32" i="42" s="1"/>
  <c r="O74" i="53"/>
  <c r="O42" i="53" s="1"/>
  <c r="AB74" i="53"/>
  <c r="AB76" i="53" s="1"/>
  <c r="K74" i="53"/>
  <c r="K42" i="53" s="1"/>
  <c r="G74" i="53"/>
  <c r="G42" i="53" s="1"/>
  <c r="I74" i="53"/>
  <c r="I42" i="53" s="1"/>
  <c r="Q74" i="53"/>
  <c r="Q42" i="53" s="1"/>
  <c r="AF74" i="53"/>
  <c r="AF76" i="53" s="1"/>
  <c r="G31" i="177" s="1"/>
  <c r="B74" i="53"/>
  <c r="B42" i="53" s="1"/>
  <c r="C74" i="53"/>
  <c r="C76" i="53" s="1"/>
  <c r="C32" i="42" s="1"/>
  <c r="X74" i="53"/>
  <c r="X76" i="53" s="1"/>
  <c r="S74" i="53"/>
  <c r="S76" i="53" s="1"/>
  <c r="P74" i="53"/>
  <c r="P76" i="53" s="1"/>
  <c r="AI72" i="53"/>
  <c r="L74" i="53"/>
  <c r="AI70" i="53"/>
  <c r="D74" i="53"/>
  <c r="Y74" i="53"/>
  <c r="AC74" i="53"/>
  <c r="V74" i="53"/>
  <c r="Z74" i="53"/>
  <c r="R74" i="53"/>
  <c r="R76" i="53" s="1"/>
  <c r="T74" i="53"/>
  <c r="F74" i="53"/>
  <c r="E74" i="53"/>
  <c r="U74" i="53"/>
  <c r="W74" i="53"/>
  <c r="AA74" i="53"/>
  <c r="AA76" i="53" s="1"/>
  <c r="L31" i="191" s="1"/>
  <c r="L33" i="192" s="1"/>
  <c r="O33" i="175" l="1"/>
  <c r="O35" i="199" s="1"/>
  <c r="E33" i="175"/>
  <c r="E35" i="199" s="1"/>
  <c r="N33" i="175"/>
  <c r="N35" i="199" s="1"/>
  <c r="P33" i="175"/>
  <c r="M33" i="175"/>
  <c r="L33" i="175"/>
  <c r="J42" i="53"/>
  <c r="O76" i="53"/>
  <c r="Q76" i="53"/>
  <c r="C33" i="201" s="1"/>
  <c r="H31" i="229"/>
  <c r="D31" i="229"/>
  <c r="G31" i="229"/>
  <c r="G33" i="230" s="1"/>
  <c r="C31" i="229"/>
  <c r="J31" i="229"/>
  <c r="F31" i="229"/>
  <c r="F33" i="230" s="1"/>
  <c r="B31" i="229"/>
  <c r="I31" i="229"/>
  <c r="AB42" i="53"/>
  <c r="K76" i="53"/>
  <c r="K32" i="42" s="1"/>
  <c r="K34" i="196" s="1"/>
  <c r="C42" i="53"/>
  <c r="G76" i="53"/>
  <c r="G32" i="42" s="1"/>
  <c r="G34" i="196" s="1"/>
  <c r="I76" i="53"/>
  <c r="B76" i="53"/>
  <c r="J31" i="177"/>
  <c r="C31" i="177"/>
  <c r="C31" i="223" s="1"/>
  <c r="E31" i="177"/>
  <c r="E31" i="223" s="1"/>
  <c r="X42" i="53"/>
  <c r="D31" i="177"/>
  <c r="I31" i="177"/>
  <c r="I31" i="223" s="1"/>
  <c r="H31" i="177"/>
  <c r="B31" i="177"/>
  <c r="F31" i="177"/>
  <c r="S42" i="53"/>
  <c r="P42" i="53"/>
  <c r="T42" i="53"/>
  <c r="T76" i="53"/>
  <c r="AC76" i="53"/>
  <c r="AC42" i="53"/>
  <c r="J34" i="196"/>
  <c r="F33" i="175"/>
  <c r="C33" i="175"/>
  <c r="B33" i="175"/>
  <c r="D33" i="175"/>
  <c r="L76" i="53"/>
  <c r="L32" i="42" s="1"/>
  <c r="AI74" i="53"/>
  <c r="E42" i="53"/>
  <c r="E76" i="53"/>
  <c r="E32" i="42" s="1"/>
  <c r="V76" i="53"/>
  <c r="V42" i="53"/>
  <c r="D42" i="53"/>
  <c r="D76" i="53"/>
  <c r="D32" i="42" s="1"/>
  <c r="U76" i="53"/>
  <c r="U42" i="53"/>
  <c r="E31" i="187"/>
  <c r="E31" i="191"/>
  <c r="M31" i="187"/>
  <c r="J31" i="191"/>
  <c r="B31" i="191"/>
  <c r="Q31" i="191"/>
  <c r="I31" i="187"/>
  <c r="I31" i="193"/>
  <c r="K31" i="187"/>
  <c r="G31" i="193"/>
  <c r="B31" i="190"/>
  <c r="J31" i="187"/>
  <c r="C31" i="187"/>
  <c r="M31" i="193"/>
  <c r="F31" i="187"/>
  <c r="K31" i="193"/>
  <c r="C31" i="191"/>
  <c r="L31" i="193"/>
  <c r="I31" i="191"/>
  <c r="E31" i="193"/>
  <c r="G31" i="187"/>
  <c r="O31" i="191"/>
  <c r="G31" i="191"/>
  <c r="C31" i="193"/>
  <c r="H31" i="191"/>
  <c r="H31" i="221" s="1"/>
  <c r="N31" i="191"/>
  <c r="B31" i="187"/>
  <c r="K31" i="191"/>
  <c r="H31" i="193"/>
  <c r="E33" i="189"/>
  <c r="M31" i="191"/>
  <c r="F31" i="191"/>
  <c r="P31" i="191"/>
  <c r="E31" i="190"/>
  <c r="Z42" i="53"/>
  <c r="Z76" i="53"/>
  <c r="Y42" i="53"/>
  <c r="Y76" i="53"/>
  <c r="W42" i="53"/>
  <c r="W76" i="53"/>
  <c r="F42" i="53"/>
  <c r="F76" i="53"/>
  <c r="F32" i="42" s="1"/>
  <c r="G33" i="180"/>
  <c r="C34" i="196"/>
  <c r="I33" i="230" l="1"/>
  <c r="C33" i="230"/>
  <c r="B33" i="230"/>
  <c r="J33" i="230"/>
  <c r="H33" i="230"/>
  <c r="D33" i="230"/>
  <c r="B32" i="42"/>
  <c r="O31" i="221"/>
  <c r="P31" i="221"/>
  <c r="B31" i="223"/>
  <c r="F31" i="221"/>
  <c r="G31" i="221"/>
  <c r="C31" i="221"/>
  <c r="Q31" i="221"/>
  <c r="E31" i="221"/>
  <c r="I31" i="221"/>
  <c r="B31" i="221"/>
  <c r="N31" i="221"/>
  <c r="H31" i="223"/>
  <c r="H33" i="220" s="1"/>
  <c r="J31" i="223"/>
  <c r="J33" i="220" s="1"/>
  <c r="F31" i="223"/>
  <c r="F33" i="220" s="1"/>
  <c r="D31" i="223"/>
  <c r="D33" i="220" s="1"/>
  <c r="G31" i="223"/>
  <c r="G33" i="220" s="1"/>
  <c r="F33" i="201"/>
  <c r="F35" i="202" s="1"/>
  <c r="M33" i="201"/>
  <c r="N33" i="201"/>
  <c r="N32" i="224" s="1"/>
  <c r="P33" i="201"/>
  <c r="L33" i="201"/>
  <c r="O33" i="201"/>
  <c r="O32" i="224" s="1"/>
  <c r="H33" i="180"/>
  <c r="I33" i="180"/>
  <c r="I33" i="220"/>
  <c r="C33" i="180"/>
  <c r="C33" i="220"/>
  <c r="M35" i="199"/>
  <c r="F33" i="180"/>
  <c r="D33" i="180"/>
  <c r="J33" i="180"/>
  <c r="F33" i="174"/>
  <c r="P33" i="174"/>
  <c r="M33" i="174"/>
  <c r="L33" i="174"/>
  <c r="P35" i="199"/>
  <c r="L35" i="199"/>
  <c r="B33" i="180"/>
  <c r="B33" i="220"/>
  <c r="E33" i="180"/>
  <c r="E33" i="220"/>
  <c r="C33" i="174"/>
  <c r="M35" i="234"/>
  <c r="P35" i="234"/>
  <c r="L35" i="234"/>
  <c r="N35" i="234"/>
  <c r="O35" i="234"/>
  <c r="B33" i="174"/>
  <c r="D33" i="201"/>
  <c r="D35" i="202" s="1"/>
  <c r="B33" i="201"/>
  <c r="B35" i="202" s="1"/>
  <c r="E33" i="201"/>
  <c r="I32" i="42"/>
  <c r="I34" i="196" s="1"/>
  <c r="AH42" i="53"/>
  <c r="C35" i="202"/>
  <c r="O33" i="192"/>
  <c r="L33" i="184"/>
  <c r="B33" i="192"/>
  <c r="B35" i="199"/>
  <c r="F33" i="192"/>
  <c r="B33" i="194"/>
  <c r="C33" i="192"/>
  <c r="M33" i="184"/>
  <c r="E34" i="196"/>
  <c r="N33" i="192"/>
  <c r="G33" i="192"/>
  <c r="E33" i="184"/>
  <c r="K33" i="184"/>
  <c r="C33" i="194"/>
  <c r="G33" i="184"/>
  <c r="I33" i="194"/>
  <c r="Q33" i="192"/>
  <c r="J31" i="221"/>
  <c r="J33" i="192"/>
  <c r="L34" i="196"/>
  <c r="F35" i="199"/>
  <c r="P33" i="192"/>
  <c r="K33" i="192"/>
  <c r="K31" i="221"/>
  <c r="C33" i="184"/>
  <c r="B33" i="189"/>
  <c r="D34" i="196"/>
  <c r="G33" i="194"/>
  <c r="I33" i="184"/>
  <c r="E33" i="192"/>
  <c r="C35" i="199"/>
  <c r="F34" i="196"/>
  <c r="M33" i="192"/>
  <c r="M31" i="221"/>
  <c r="H33" i="184"/>
  <c r="L31" i="221"/>
  <c r="H33" i="192"/>
  <c r="I33" i="192"/>
  <c r="F33" i="194"/>
  <c r="J33" i="194"/>
  <c r="K33" i="194"/>
  <c r="M33" i="194"/>
  <c r="E33" i="194"/>
  <c r="D35" i="199"/>
  <c r="B34" i="196" l="1"/>
  <c r="M32" i="224"/>
  <c r="L32" i="224"/>
  <c r="C35" i="198"/>
  <c r="C32" i="224"/>
  <c r="B35" i="198"/>
  <c r="B32" i="224"/>
  <c r="P32" i="224"/>
  <c r="E35" i="202"/>
  <c r="E32" i="224"/>
  <c r="F35" i="198"/>
  <c r="F32" i="224"/>
  <c r="D32" i="224"/>
  <c r="L35" i="198"/>
  <c r="P35" i="202"/>
  <c r="L35" i="202"/>
  <c r="N35" i="202"/>
  <c r="M35" i="198"/>
  <c r="M35" i="202"/>
  <c r="P35" i="198"/>
  <c r="O35" i="202"/>
  <c r="K33" i="222"/>
  <c r="E33" i="222"/>
  <c r="G33" i="222"/>
  <c r="C33" i="222"/>
  <c r="B33" i="222"/>
  <c r="I33" i="222"/>
  <c r="H33" i="222"/>
  <c r="Q33" i="222"/>
  <c r="J33" i="222"/>
  <c r="F33" i="222"/>
  <c r="L33" i="222"/>
  <c r="N33" i="222"/>
  <c r="M33" i="222"/>
  <c r="P33" i="222"/>
  <c r="O33" i="222"/>
  <c r="M34" i="225" l="1"/>
  <c r="C34" i="225"/>
  <c r="B34" i="225"/>
  <c r="G34" i="225"/>
  <c r="P34" i="225"/>
  <c r="E34" i="225"/>
  <c r="N34" i="225"/>
  <c r="F34" i="225"/>
  <c r="K34" i="225"/>
  <c r="I34" i="225"/>
  <c r="L34" i="225"/>
  <c r="J34" i="225"/>
  <c r="O34" i="225"/>
  <c r="D34" i="225"/>
  <c r="H34" i="225"/>
  <c r="E45" i="143" l="1"/>
  <c r="E51" i="143"/>
  <c r="J33" i="55" l="1"/>
  <c r="C29" i="168" l="1"/>
  <c r="D29" i="168"/>
  <c r="T29" i="168" s="1"/>
  <c r="D29" i="33" s="1"/>
  <c r="D39" i="33" s="1"/>
  <c r="W40" i="64"/>
  <c r="B29" i="168"/>
  <c r="E29" i="168" l="1"/>
  <c r="L29" i="33"/>
  <c r="L39" i="33" s="1"/>
  <c r="L10" i="42" s="1"/>
  <c r="T39" i="168"/>
  <c r="AB29" i="168"/>
  <c r="D39" i="168"/>
  <c r="AB39" i="168" l="1"/>
  <c r="E10" i="42" s="1"/>
  <c r="E10" i="196" s="1"/>
  <c r="L21" i="42"/>
  <c r="L27" i="42" s="1"/>
  <c r="L10" i="196"/>
  <c r="L21" i="196" l="1"/>
  <c r="L27" i="196" s="1"/>
  <c r="E21" i="42"/>
  <c r="E27" i="42" s="1"/>
  <c r="M10" i="42"/>
  <c r="M10" i="196"/>
  <c r="E21" i="196"/>
  <c r="E27" i="196" s="1"/>
  <c r="B19" i="217" l="1"/>
  <c r="B25" i="217" s="1"/>
  <c r="B18" i="217" l="1"/>
  <c r="B12" i="217" l="1"/>
  <c r="B24" i="217"/>
  <c r="B27" i="217" s="1"/>
  <c r="B32" i="217" s="1"/>
  <c r="B22" i="217"/>
  <c r="Y7" i="82" l="1"/>
  <c r="AG7" i="50" l="1"/>
  <c r="B35" i="217"/>
  <c r="B36" i="217" l="1"/>
  <c r="AG39" i="50"/>
  <c r="AG8" i="53" s="1"/>
  <c r="AH7" i="50"/>
  <c r="AH39" i="50" s="1"/>
  <c r="B40" i="217" l="1"/>
  <c r="C78" i="143" s="1"/>
  <c r="M78" i="143" s="1"/>
  <c r="P78" i="143" s="1"/>
  <c r="AH8" i="53"/>
  <c r="C55" i="120" l="1"/>
  <c r="D55" i="120" s="1"/>
  <c r="AM39" i="50" l="1"/>
  <c r="AN7" i="50"/>
  <c r="AN39" i="50" s="1"/>
  <c r="AH9" i="53" l="1"/>
  <c r="AH10" i="53" s="1"/>
  <c r="AH76" i="53" s="1"/>
  <c r="AG10" i="53"/>
  <c r="AG76" i="53" s="1"/>
  <c r="N18" i="79" l="1"/>
  <c r="C12" i="164" l="1"/>
  <c r="C12" i="79"/>
  <c r="J11" i="79"/>
  <c r="C10" i="79"/>
  <c r="C10" i="164"/>
  <c r="N16" i="79"/>
  <c r="J18" i="79"/>
  <c r="J8" i="79"/>
  <c r="N19" i="232"/>
  <c r="N18" i="228"/>
  <c r="N18" i="156"/>
  <c r="N19" i="200"/>
  <c r="N19" i="91"/>
  <c r="N19" i="162"/>
  <c r="N18" i="160"/>
  <c r="N18" i="154"/>
  <c r="N18" i="159"/>
  <c r="J17" i="79"/>
  <c r="J10" i="79"/>
  <c r="C11" i="164"/>
  <c r="C11" i="79"/>
  <c r="N17" i="79"/>
  <c r="J12" i="79"/>
  <c r="J13" i="79"/>
  <c r="J16" i="79"/>
  <c r="N25" i="79"/>
  <c r="J7" i="79"/>
  <c r="N26" i="79"/>
  <c r="J9" i="79"/>
  <c r="N22" i="79" l="1"/>
  <c r="F17" i="79"/>
  <c r="J19" i="79"/>
  <c r="J15" i="79"/>
  <c r="G14" i="79"/>
  <c r="U15" i="235"/>
  <c r="S15" i="164" s="1"/>
  <c r="U16" i="235"/>
  <c r="S16" i="164" s="1"/>
  <c r="U25" i="235"/>
  <c r="S25" i="164" s="1"/>
  <c r="U8" i="235"/>
  <c r="S8" i="164" s="1"/>
  <c r="N11" i="79"/>
  <c r="G15" i="79"/>
  <c r="B14" i="79"/>
  <c r="I14" i="235"/>
  <c r="F14" i="164" s="1"/>
  <c r="J14" i="79"/>
  <c r="N9" i="79"/>
  <c r="N23" i="79"/>
  <c r="C13" i="79"/>
  <c r="C13" i="164"/>
  <c r="C8" i="164"/>
  <c r="C8" i="79"/>
  <c r="C11" i="231"/>
  <c r="C11" i="166"/>
  <c r="C11" i="172"/>
  <c r="C11" i="165"/>
  <c r="C11" i="167"/>
  <c r="C11" i="170"/>
  <c r="C11" i="171"/>
  <c r="C11" i="173"/>
  <c r="C11" i="168"/>
  <c r="C11" i="169"/>
  <c r="B17" i="228"/>
  <c r="B17" i="156"/>
  <c r="B18" i="232"/>
  <c r="J18" i="232"/>
  <c r="J17" i="228"/>
  <c r="B17" i="160"/>
  <c r="J18" i="200"/>
  <c r="J18" i="162"/>
  <c r="B17" i="159"/>
  <c r="B18" i="162"/>
  <c r="J18" i="91"/>
  <c r="B18" i="91"/>
  <c r="J17" i="160"/>
  <c r="J17" i="154"/>
  <c r="J17" i="159"/>
  <c r="B17" i="154"/>
  <c r="J17" i="156"/>
  <c r="B18" i="200"/>
  <c r="F16" i="79"/>
  <c r="Q14" i="235"/>
  <c r="N14" i="164" s="1"/>
  <c r="M13" i="235"/>
  <c r="J13" i="164" s="1"/>
  <c r="U21" i="235"/>
  <c r="S21" i="164" s="1"/>
  <c r="U22" i="235"/>
  <c r="S22" i="164" s="1"/>
  <c r="U27" i="235"/>
  <c r="S27" i="164" s="1"/>
  <c r="U28" i="235"/>
  <c r="S28" i="164" s="1"/>
  <c r="U14" i="235"/>
  <c r="S14" i="164" s="1"/>
  <c r="U19" i="235"/>
  <c r="S19" i="164" s="1"/>
  <c r="N10" i="79"/>
  <c r="N27" i="79"/>
  <c r="O14" i="79"/>
  <c r="C15" i="164"/>
  <c r="C15" i="79"/>
  <c r="N8" i="79"/>
  <c r="C7" i="164"/>
  <c r="C7" i="79"/>
  <c r="N14" i="79"/>
  <c r="N27" i="232"/>
  <c r="N26" i="228"/>
  <c r="N27" i="162"/>
  <c r="N27" i="91"/>
  <c r="N26" i="160"/>
  <c r="N26" i="159"/>
  <c r="N26" i="156"/>
  <c r="N26" i="154"/>
  <c r="N27" i="200"/>
  <c r="N26" i="232"/>
  <c r="N25" i="228"/>
  <c r="N26" i="91"/>
  <c r="N26" i="200"/>
  <c r="N25" i="154"/>
  <c r="N25" i="159"/>
  <c r="N25" i="160"/>
  <c r="N25" i="156"/>
  <c r="N26" i="162"/>
  <c r="J14" i="232"/>
  <c r="J13" i="228"/>
  <c r="J14" i="91"/>
  <c r="J13" i="159"/>
  <c r="J13" i="160"/>
  <c r="J13" i="154"/>
  <c r="J14" i="162"/>
  <c r="J13" i="156"/>
  <c r="J14" i="200"/>
  <c r="N18" i="232"/>
  <c r="N17" i="228"/>
  <c r="N18" i="162"/>
  <c r="N17" i="159"/>
  <c r="N17" i="156"/>
  <c r="N18" i="91"/>
  <c r="N17" i="160"/>
  <c r="N18" i="200"/>
  <c r="N17" i="154"/>
  <c r="J8" i="232"/>
  <c r="J9" i="232"/>
  <c r="J8" i="228"/>
  <c r="J8" i="162"/>
  <c r="J8" i="154"/>
  <c r="J8" i="159"/>
  <c r="J8" i="156"/>
  <c r="J8" i="91"/>
  <c r="J8" i="160"/>
  <c r="J9" i="200"/>
  <c r="J9" i="91"/>
  <c r="J8" i="200"/>
  <c r="J9" i="162"/>
  <c r="N17" i="232"/>
  <c r="N16" i="228"/>
  <c r="N16" i="154"/>
  <c r="N16" i="159"/>
  <c r="N17" i="200"/>
  <c r="N16" i="160"/>
  <c r="N17" i="162"/>
  <c r="N17" i="91"/>
  <c r="N16" i="156"/>
  <c r="J12" i="232"/>
  <c r="J11" i="228"/>
  <c r="J11" i="156"/>
  <c r="J12" i="200"/>
  <c r="J11" i="160"/>
  <c r="J11" i="159"/>
  <c r="J12" i="91"/>
  <c r="J12" i="162"/>
  <c r="J11" i="154"/>
  <c r="N28" i="79"/>
  <c r="U20" i="235"/>
  <c r="S20" i="164" s="1"/>
  <c r="U13" i="235"/>
  <c r="S13" i="164" s="1"/>
  <c r="U11" i="235"/>
  <c r="S11" i="164" s="1"/>
  <c r="U12" i="235"/>
  <c r="S12" i="164" s="1"/>
  <c r="U9" i="235"/>
  <c r="S9" i="164" s="1"/>
  <c r="U26" i="235"/>
  <c r="S26" i="164" s="1"/>
  <c r="J22" i="79"/>
  <c r="C14" i="79"/>
  <c r="C14" i="164"/>
  <c r="J10" i="232"/>
  <c r="J9" i="228"/>
  <c r="J9" i="156"/>
  <c r="J10" i="91"/>
  <c r="J10" i="162"/>
  <c r="J9" i="160"/>
  <c r="J9" i="159"/>
  <c r="J9" i="154"/>
  <c r="J10" i="200"/>
  <c r="J11" i="232"/>
  <c r="J10" i="228"/>
  <c r="J10" i="154"/>
  <c r="J10" i="159"/>
  <c r="J11" i="91"/>
  <c r="J10" i="156"/>
  <c r="J11" i="200"/>
  <c r="J11" i="162"/>
  <c r="J10" i="160"/>
  <c r="C10" i="231"/>
  <c r="C10" i="171"/>
  <c r="C10" i="170"/>
  <c r="C10" i="168"/>
  <c r="C10" i="169"/>
  <c r="C10" i="167"/>
  <c r="C10" i="172"/>
  <c r="C10" i="173"/>
  <c r="C10" i="165"/>
  <c r="C10" i="166"/>
  <c r="C12" i="156"/>
  <c r="C13" i="232"/>
  <c r="C12" i="228"/>
  <c r="C13" i="91"/>
  <c r="C12" i="159"/>
  <c r="C13" i="162"/>
  <c r="C13" i="200"/>
  <c r="C12" i="160"/>
  <c r="C12" i="154"/>
  <c r="E15" i="235"/>
  <c r="B15" i="164" s="1"/>
  <c r="N12" i="79"/>
  <c r="N24" i="79"/>
  <c r="U7" i="235"/>
  <c r="S7" i="164" s="1"/>
  <c r="U17" i="235"/>
  <c r="S17" i="164" s="1"/>
  <c r="U18" i="235"/>
  <c r="S18" i="164" s="1"/>
  <c r="U23" i="235"/>
  <c r="S23" i="164" s="1"/>
  <c r="U24" i="235"/>
  <c r="S24" i="164" s="1"/>
  <c r="U10" i="235"/>
  <c r="S10" i="164" s="1"/>
  <c r="N7" i="79"/>
  <c r="I15" i="235"/>
  <c r="F15" i="164" s="1"/>
  <c r="K15" i="79"/>
  <c r="M15" i="235"/>
  <c r="J15" i="164" s="1"/>
  <c r="C16" i="164"/>
  <c r="C16" i="79"/>
  <c r="N13" i="79"/>
  <c r="N19" i="79"/>
  <c r="N15" i="79"/>
  <c r="C9" i="79"/>
  <c r="C9" i="164"/>
  <c r="B15" i="79"/>
  <c r="E15" i="236"/>
  <c r="B16" i="79"/>
  <c r="E16" i="236"/>
  <c r="J7" i="232"/>
  <c r="J7" i="228"/>
  <c r="J7" i="160"/>
  <c r="J7" i="156"/>
  <c r="J7" i="91"/>
  <c r="J7" i="200"/>
  <c r="J7" i="154"/>
  <c r="J7" i="159"/>
  <c r="J7" i="162"/>
  <c r="J17" i="232"/>
  <c r="J16" i="228"/>
  <c r="J16" i="156"/>
  <c r="J17" i="91"/>
  <c r="J16" i="160"/>
  <c r="J16" i="154"/>
  <c r="J17" i="162"/>
  <c r="J16" i="159"/>
  <c r="J17" i="200"/>
  <c r="J13" i="232"/>
  <c r="J12" i="228"/>
  <c r="J12" i="154"/>
  <c r="J12" i="159"/>
  <c r="J12" i="156"/>
  <c r="J13" i="200"/>
  <c r="J13" i="91"/>
  <c r="J13" i="162"/>
  <c r="J12" i="160"/>
  <c r="C11" i="156"/>
  <c r="C12" i="232"/>
  <c r="C11" i="228"/>
  <c r="C12" i="91"/>
  <c r="C11" i="154"/>
  <c r="C12" i="200"/>
  <c r="C11" i="159"/>
  <c r="C12" i="162"/>
  <c r="C11" i="160"/>
  <c r="B19" i="232"/>
  <c r="B18" i="228"/>
  <c r="F18" i="228"/>
  <c r="B18" i="156"/>
  <c r="F19" i="232"/>
  <c r="J19" i="232"/>
  <c r="J18" i="228"/>
  <c r="B18" i="160"/>
  <c r="B19" i="91"/>
  <c r="F19" i="91"/>
  <c r="J18" i="156"/>
  <c r="J19" i="91"/>
  <c r="F18" i="156"/>
  <c r="B18" i="154"/>
  <c r="B19" i="162"/>
  <c r="J18" i="160"/>
  <c r="J18" i="159"/>
  <c r="F19" i="162"/>
  <c r="J18" i="154"/>
  <c r="F19" i="200"/>
  <c r="J19" i="162"/>
  <c r="B18" i="159"/>
  <c r="B19" i="200"/>
  <c r="J19" i="200"/>
  <c r="F18" i="160"/>
  <c r="F18" i="154"/>
  <c r="F18" i="159"/>
  <c r="C10" i="156"/>
  <c r="C11" i="232"/>
  <c r="C10" i="228"/>
  <c r="C10" i="154"/>
  <c r="C10" i="160"/>
  <c r="C10" i="159"/>
  <c r="C11" i="91"/>
  <c r="C11" i="200"/>
  <c r="C11" i="162"/>
  <c r="C12" i="231"/>
  <c r="C12" i="165"/>
  <c r="C12" i="166"/>
  <c r="C12" i="169"/>
  <c r="C12" i="168"/>
  <c r="C12" i="167"/>
  <c r="C12" i="170"/>
  <c r="C12" i="172"/>
  <c r="C12" i="173"/>
  <c r="C12" i="171"/>
  <c r="E13" i="235"/>
  <c r="B13" i="164" s="1"/>
  <c r="E7" i="235"/>
  <c r="B7" i="164" s="1"/>
  <c r="E9" i="235"/>
  <c r="B9" i="164" s="1"/>
  <c r="E10" i="235"/>
  <c r="B10" i="164" s="1"/>
  <c r="E11" i="235"/>
  <c r="B11" i="164" s="1"/>
  <c r="E12" i="235"/>
  <c r="B12" i="164" s="1"/>
  <c r="E8" i="235"/>
  <c r="B8" i="164" s="1"/>
  <c r="K15" i="164" l="1"/>
  <c r="M15" i="164" s="1"/>
  <c r="J15" i="231"/>
  <c r="J15" i="172"/>
  <c r="J15" i="168"/>
  <c r="J15" i="171"/>
  <c r="J15" i="169"/>
  <c r="J15" i="173"/>
  <c r="J15" i="167"/>
  <c r="J15" i="170"/>
  <c r="J15" i="166"/>
  <c r="J15" i="165"/>
  <c r="B8" i="231"/>
  <c r="B8" i="172"/>
  <c r="B8" i="167"/>
  <c r="B8" i="170"/>
  <c r="B8" i="166"/>
  <c r="B8" i="173"/>
  <c r="B8" i="165"/>
  <c r="B8" i="171"/>
  <c r="B8" i="168"/>
  <c r="B8" i="169"/>
  <c r="E8" i="164"/>
  <c r="B12" i="168"/>
  <c r="B12" i="169"/>
  <c r="B12" i="171"/>
  <c r="B12" i="170"/>
  <c r="B12" i="231"/>
  <c r="B12" i="172"/>
  <c r="B12" i="166"/>
  <c r="B12" i="167"/>
  <c r="B12" i="173"/>
  <c r="E12" i="164"/>
  <c r="B12" i="165"/>
  <c r="S32" i="79"/>
  <c r="U32" i="236"/>
  <c r="J21" i="79"/>
  <c r="G8" i="79"/>
  <c r="B10" i="79"/>
  <c r="E10" i="236"/>
  <c r="B7" i="79"/>
  <c r="E7" i="236"/>
  <c r="M16" i="235"/>
  <c r="J16" i="164" s="1"/>
  <c r="J24" i="79"/>
  <c r="S35" i="79"/>
  <c r="U35" i="236"/>
  <c r="N20" i="79"/>
  <c r="S31" i="79"/>
  <c r="U31" i="236"/>
  <c r="Q22" i="235"/>
  <c r="N22" i="164" s="1"/>
  <c r="I16" i="235"/>
  <c r="F16" i="164" s="1"/>
  <c r="Q7" i="235"/>
  <c r="N7" i="164" s="1"/>
  <c r="B13" i="79"/>
  <c r="E13" i="236"/>
  <c r="F13" i="79"/>
  <c r="F10" i="79"/>
  <c r="F7" i="79"/>
  <c r="R18" i="159"/>
  <c r="R18" i="154"/>
  <c r="R18" i="228"/>
  <c r="J41" i="162"/>
  <c r="J41" i="91"/>
  <c r="J41" i="232"/>
  <c r="B17" i="162"/>
  <c r="B16" i="159"/>
  <c r="B17" i="91"/>
  <c r="B16" i="160"/>
  <c r="B16" i="156"/>
  <c r="B16" i="154"/>
  <c r="E16" i="79"/>
  <c r="B17" i="200"/>
  <c r="B17" i="232"/>
  <c r="B16" i="228"/>
  <c r="C9" i="156"/>
  <c r="C10" i="232"/>
  <c r="C9" i="228"/>
  <c r="C10" i="162"/>
  <c r="C10" i="200"/>
  <c r="C9" i="154"/>
  <c r="C10" i="91"/>
  <c r="C9" i="160"/>
  <c r="C9" i="159"/>
  <c r="C16" i="160"/>
  <c r="C16" i="156"/>
  <c r="C16" i="154"/>
  <c r="C17" i="91"/>
  <c r="C16" i="159"/>
  <c r="C17" i="162"/>
  <c r="C17" i="200"/>
  <c r="C17" i="232"/>
  <c r="C16" i="228"/>
  <c r="G15" i="164"/>
  <c r="I15" i="164" s="1"/>
  <c r="F15" i="231"/>
  <c r="F15" i="165"/>
  <c r="F15" i="173"/>
  <c r="F15" i="170"/>
  <c r="F15" i="166"/>
  <c r="F15" i="172"/>
  <c r="F15" i="167"/>
  <c r="F15" i="171"/>
  <c r="F15" i="168"/>
  <c r="F15" i="169"/>
  <c r="S10" i="79"/>
  <c r="U10" i="236"/>
  <c r="W23" i="171"/>
  <c r="Y23" i="171" s="1"/>
  <c r="W23" i="231"/>
  <c r="Y23" i="231" s="1"/>
  <c r="W23" i="170"/>
  <c r="Y23" i="170" s="1"/>
  <c r="W23" i="165"/>
  <c r="W23" i="166"/>
  <c r="Y23" i="166" s="1"/>
  <c r="W23" i="173"/>
  <c r="Y23" i="173" s="1"/>
  <c r="W23" i="169"/>
  <c r="Y23" i="169" s="1"/>
  <c r="W23" i="172"/>
  <c r="Y23" i="172" s="1"/>
  <c r="U23" i="164"/>
  <c r="W23" i="167"/>
  <c r="Y23" i="167" s="1"/>
  <c r="W23" i="168"/>
  <c r="Y23" i="168" s="1"/>
  <c r="S17" i="79"/>
  <c r="U17" i="236"/>
  <c r="N25" i="232"/>
  <c r="N24" i="228"/>
  <c r="N24" i="154"/>
  <c r="N25" i="200"/>
  <c r="N25" i="162"/>
  <c r="N24" i="160"/>
  <c r="N24" i="156"/>
  <c r="N25" i="91"/>
  <c r="N24" i="159"/>
  <c r="S9" i="79"/>
  <c r="U9" i="236"/>
  <c r="W11" i="171"/>
  <c r="Y11" i="171" s="1"/>
  <c r="W11" i="231"/>
  <c r="Y11" i="231" s="1"/>
  <c r="W11" i="166"/>
  <c r="Y11" i="166" s="1"/>
  <c r="W11" i="172"/>
  <c r="Y11" i="172" s="1"/>
  <c r="W11" i="169"/>
  <c r="Y11" i="169" s="1"/>
  <c r="W11" i="167"/>
  <c r="Y11" i="167" s="1"/>
  <c r="W11" i="165"/>
  <c r="W11" i="170"/>
  <c r="Y11" i="170" s="1"/>
  <c r="U11" i="164"/>
  <c r="W11" i="168"/>
  <c r="Y11" i="168" s="1"/>
  <c r="W11" i="173"/>
  <c r="Y11" i="173" s="1"/>
  <c r="S20" i="79"/>
  <c r="U20" i="236"/>
  <c r="J42" i="200"/>
  <c r="J42" i="232"/>
  <c r="N15" i="232"/>
  <c r="N14" i="228"/>
  <c r="N14" i="156"/>
  <c r="N14" i="154"/>
  <c r="N14" i="160"/>
  <c r="N15" i="200"/>
  <c r="N15" i="162"/>
  <c r="N15" i="91"/>
  <c r="N14" i="159"/>
  <c r="Q14" i="79"/>
  <c r="E14" i="235"/>
  <c r="B14" i="164" s="1"/>
  <c r="S19" i="79"/>
  <c r="U19" i="236"/>
  <c r="W28" i="171"/>
  <c r="Y28" i="171" s="1"/>
  <c r="W28" i="231"/>
  <c r="Y28" i="231" s="1"/>
  <c r="W28" i="172"/>
  <c r="Y28" i="172" s="1"/>
  <c r="W28" i="169"/>
  <c r="Y28" i="169" s="1"/>
  <c r="W28" i="166"/>
  <c r="Y28" i="166" s="1"/>
  <c r="W28" i="170"/>
  <c r="Y28" i="170" s="1"/>
  <c r="W28" i="167"/>
  <c r="Y28" i="167" s="1"/>
  <c r="W28" i="165"/>
  <c r="W28" i="173"/>
  <c r="Y28" i="173" s="1"/>
  <c r="W28" i="168"/>
  <c r="Y28" i="168" s="1"/>
  <c r="U28" i="164"/>
  <c r="W22" i="171"/>
  <c r="Y22" i="171" s="1"/>
  <c r="W22" i="231"/>
  <c r="Y22" i="231" s="1"/>
  <c r="W22" i="165"/>
  <c r="W22" i="168"/>
  <c r="Y22" i="168" s="1"/>
  <c r="W22" i="166"/>
  <c r="Y22" i="166" s="1"/>
  <c r="W22" i="169"/>
  <c r="Y22" i="169" s="1"/>
  <c r="W22" i="173"/>
  <c r="Y22" i="173" s="1"/>
  <c r="U22" i="164"/>
  <c r="W22" i="167"/>
  <c r="Y22" i="167" s="1"/>
  <c r="W22" i="170"/>
  <c r="Y22" i="170" s="1"/>
  <c r="W22" i="172"/>
  <c r="Y22" i="172" s="1"/>
  <c r="K13" i="79"/>
  <c r="M13" i="236"/>
  <c r="C8" i="231"/>
  <c r="C8" i="172"/>
  <c r="C8" i="171"/>
  <c r="C8" i="165"/>
  <c r="C8" i="166"/>
  <c r="C8" i="170"/>
  <c r="C8" i="173"/>
  <c r="C8" i="169"/>
  <c r="C8" i="168"/>
  <c r="C8" i="167"/>
  <c r="N24" i="232"/>
  <c r="N23" i="228"/>
  <c r="N24" i="162"/>
  <c r="N23" i="159"/>
  <c r="N24" i="91"/>
  <c r="N23" i="160"/>
  <c r="N24" i="200"/>
  <c r="N23" i="154"/>
  <c r="N23" i="156"/>
  <c r="E14" i="236"/>
  <c r="U30" i="235"/>
  <c r="S30" i="164" s="1"/>
  <c r="W16" i="171"/>
  <c r="Y16" i="171" s="1"/>
  <c r="W16" i="231"/>
  <c r="Y16" i="231" s="1"/>
  <c r="W16" i="173"/>
  <c r="Y16" i="173" s="1"/>
  <c r="W16" i="166"/>
  <c r="Y16" i="166" s="1"/>
  <c r="W16" i="172"/>
  <c r="Y16" i="172" s="1"/>
  <c r="W16" i="165"/>
  <c r="W16" i="168"/>
  <c r="Y16" i="168" s="1"/>
  <c r="W16" i="169"/>
  <c r="Y16" i="169" s="1"/>
  <c r="W16" i="170"/>
  <c r="Y16" i="170" s="1"/>
  <c r="W16" i="167"/>
  <c r="Y16" i="167" s="1"/>
  <c r="U16" i="164"/>
  <c r="U29" i="235"/>
  <c r="S29" i="164" s="1"/>
  <c r="M15" i="236"/>
  <c r="B11" i="231"/>
  <c r="B11" i="165"/>
  <c r="B11" i="169"/>
  <c r="B11" i="167"/>
  <c r="B11" i="172"/>
  <c r="B11" i="170"/>
  <c r="B11" i="166"/>
  <c r="B11" i="171"/>
  <c r="B11" i="168"/>
  <c r="B11" i="173"/>
  <c r="E11" i="164"/>
  <c r="Q25" i="235"/>
  <c r="N25" i="164" s="1"/>
  <c r="F14" i="79"/>
  <c r="I14" i="236"/>
  <c r="J27" i="79"/>
  <c r="N21" i="79"/>
  <c r="M10" i="235"/>
  <c r="J10" i="164" s="1"/>
  <c r="B9" i="231"/>
  <c r="B9" i="168"/>
  <c r="B9" i="171"/>
  <c r="B9" i="169"/>
  <c r="B9" i="167"/>
  <c r="B9" i="170"/>
  <c r="B9" i="173"/>
  <c r="B9" i="166"/>
  <c r="B9" i="165"/>
  <c r="B9" i="172"/>
  <c r="E9" i="164"/>
  <c r="S36" i="79"/>
  <c r="U36" i="236"/>
  <c r="S37" i="79"/>
  <c r="U37" i="236"/>
  <c r="G13" i="79"/>
  <c r="I13" i="235"/>
  <c r="F13" i="164" s="1"/>
  <c r="F9" i="79"/>
  <c r="F12" i="79"/>
  <c r="I17" i="235"/>
  <c r="F17" i="164" s="1"/>
  <c r="R19" i="91"/>
  <c r="R19" i="232"/>
  <c r="C43" i="200"/>
  <c r="C43" i="232"/>
  <c r="N20" i="232"/>
  <c r="N19" i="228"/>
  <c r="N20" i="91"/>
  <c r="N19" i="156"/>
  <c r="N20" i="162"/>
  <c r="N19" i="159"/>
  <c r="N19" i="154"/>
  <c r="N19" i="160"/>
  <c r="N20" i="200"/>
  <c r="C16" i="167"/>
  <c r="C16" i="165"/>
  <c r="C16" i="166"/>
  <c r="C16" i="173"/>
  <c r="C16" i="170"/>
  <c r="C16" i="171"/>
  <c r="C16" i="172"/>
  <c r="C16" i="169"/>
  <c r="C16" i="231"/>
  <c r="C16" i="168"/>
  <c r="W24" i="171"/>
  <c r="Y24" i="171" s="1"/>
  <c r="W24" i="231"/>
  <c r="Y24" i="231" s="1"/>
  <c r="W24" i="169"/>
  <c r="Y24" i="169" s="1"/>
  <c r="W24" i="172"/>
  <c r="Y24" i="172" s="1"/>
  <c r="W24" i="173"/>
  <c r="Y24" i="173" s="1"/>
  <c r="W24" i="165"/>
  <c r="W24" i="170"/>
  <c r="Y24" i="170" s="1"/>
  <c r="U24" i="164"/>
  <c r="W24" i="167"/>
  <c r="Y24" i="167" s="1"/>
  <c r="W24" i="168"/>
  <c r="Y24" i="168" s="1"/>
  <c r="W24" i="166"/>
  <c r="Y24" i="166" s="1"/>
  <c r="W18" i="171"/>
  <c r="Y18" i="171" s="1"/>
  <c r="W18" i="231"/>
  <c r="Y18" i="231" s="1"/>
  <c r="W18" i="173"/>
  <c r="Y18" i="173" s="1"/>
  <c r="W18" i="168"/>
  <c r="Y18" i="168" s="1"/>
  <c r="W18" i="166"/>
  <c r="Y18" i="166" s="1"/>
  <c r="W18" i="169"/>
  <c r="Y18" i="169" s="1"/>
  <c r="W18" i="167"/>
  <c r="Y18" i="167" s="1"/>
  <c r="U18" i="164"/>
  <c r="W18" i="165"/>
  <c r="W18" i="172"/>
  <c r="Y18" i="172" s="1"/>
  <c r="W18" i="170"/>
  <c r="Y18" i="170" s="1"/>
  <c r="S7" i="79"/>
  <c r="U7" i="236"/>
  <c r="B15" i="170"/>
  <c r="B15" i="166"/>
  <c r="E15" i="164"/>
  <c r="B15" i="173"/>
  <c r="B15" i="171"/>
  <c r="B15" i="231"/>
  <c r="B15" i="168"/>
  <c r="B15" i="165"/>
  <c r="B15" i="167"/>
  <c r="B15" i="172"/>
  <c r="B15" i="169"/>
  <c r="M14" i="235"/>
  <c r="J14" i="164" s="1"/>
  <c r="W26" i="171"/>
  <c r="Y26" i="171" s="1"/>
  <c r="W26" i="231"/>
  <c r="Y26" i="231" s="1"/>
  <c r="W26" i="169"/>
  <c r="Y26" i="169" s="1"/>
  <c r="W26" i="165"/>
  <c r="U26" i="164"/>
  <c r="W26" i="167"/>
  <c r="Y26" i="167" s="1"/>
  <c r="W26" i="168"/>
  <c r="Y26" i="168" s="1"/>
  <c r="W26" i="173"/>
  <c r="Y26" i="173" s="1"/>
  <c r="W26" i="166"/>
  <c r="Y26" i="166" s="1"/>
  <c r="W26" i="172"/>
  <c r="Y26" i="172" s="1"/>
  <c r="W26" i="170"/>
  <c r="Y26" i="170" s="1"/>
  <c r="W12" i="171"/>
  <c r="Y12" i="171" s="1"/>
  <c r="W12" i="231"/>
  <c r="Y12" i="231" s="1"/>
  <c r="W12" i="166"/>
  <c r="Y12" i="166" s="1"/>
  <c r="W12" i="172"/>
  <c r="Y12" i="172" s="1"/>
  <c r="W12" i="165"/>
  <c r="W12" i="170"/>
  <c r="Y12" i="170" s="1"/>
  <c r="U12" i="164"/>
  <c r="W12" i="169"/>
  <c r="Y12" i="169" s="1"/>
  <c r="W12" i="167"/>
  <c r="Y12" i="167" s="1"/>
  <c r="W12" i="173"/>
  <c r="Y12" i="173" s="1"/>
  <c r="W12" i="168"/>
  <c r="Y12" i="168" s="1"/>
  <c r="W13" i="171"/>
  <c r="Y13" i="171" s="1"/>
  <c r="W13" i="231"/>
  <c r="Y13" i="231" s="1"/>
  <c r="W13" i="170"/>
  <c r="Y13" i="170" s="1"/>
  <c r="W13" i="173"/>
  <c r="Y13" i="173" s="1"/>
  <c r="W13" i="167"/>
  <c r="Y13" i="167" s="1"/>
  <c r="W13" i="168"/>
  <c r="Y13" i="168" s="1"/>
  <c r="W13" i="166"/>
  <c r="Y13" i="166" s="1"/>
  <c r="W13" i="169"/>
  <c r="Y13" i="169" s="1"/>
  <c r="W13" i="172"/>
  <c r="Y13" i="172" s="1"/>
  <c r="W13" i="165"/>
  <c r="U13" i="164"/>
  <c r="J43" i="232"/>
  <c r="J42" i="162"/>
  <c r="C7" i="156"/>
  <c r="C7" i="232"/>
  <c r="C7" i="228"/>
  <c r="C7" i="160"/>
  <c r="C7" i="159"/>
  <c r="C7" i="162"/>
  <c r="C7" i="200"/>
  <c r="C7" i="154"/>
  <c r="C7" i="91"/>
  <c r="N9" i="232"/>
  <c r="N8" i="232"/>
  <c r="N8" i="228"/>
  <c r="N8" i="162"/>
  <c r="N9" i="162"/>
  <c r="N8" i="159"/>
  <c r="N8" i="91"/>
  <c r="N8" i="200"/>
  <c r="N9" i="200"/>
  <c r="N8" i="160"/>
  <c r="N9" i="91"/>
  <c r="N8" i="156"/>
  <c r="N8" i="154"/>
  <c r="N28" i="232"/>
  <c r="N27" i="228"/>
  <c r="N28" i="200"/>
  <c r="N27" i="160"/>
  <c r="N28" i="162"/>
  <c r="N27" i="159"/>
  <c r="N28" i="91"/>
  <c r="N27" i="156"/>
  <c r="N27" i="154"/>
  <c r="W19" i="171"/>
  <c r="Y19" i="171" s="1"/>
  <c r="W19" i="231"/>
  <c r="Y19" i="231" s="1"/>
  <c r="W19" i="173"/>
  <c r="Y19" i="173" s="1"/>
  <c r="W19" i="169"/>
  <c r="Y19" i="169" s="1"/>
  <c r="W19" i="165"/>
  <c r="W19" i="172"/>
  <c r="Y19" i="172" s="1"/>
  <c r="W19" i="170"/>
  <c r="Y19" i="170" s="1"/>
  <c r="W19" i="168"/>
  <c r="Y19" i="168" s="1"/>
  <c r="W19" i="166"/>
  <c r="Y19" i="166" s="1"/>
  <c r="W19" i="167"/>
  <c r="Y19" i="167" s="1"/>
  <c r="U19" i="164"/>
  <c r="S28" i="79"/>
  <c r="U28" i="236"/>
  <c r="S22" i="79"/>
  <c r="U22" i="236"/>
  <c r="K13" i="164"/>
  <c r="M13" i="164" s="1"/>
  <c r="J13" i="231"/>
  <c r="J13" i="166"/>
  <c r="J13" i="173"/>
  <c r="J13" i="172"/>
  <c r="J13" i="167"/>
  <c r="J13" i="169"/>
  <c r="J13" i="165"/>
  <c r="J13" i="171"/>
  <c r="J13" i="168"/>
  <c r="J13" i="170"/>
  <c r="F16" i="156"/>
  <c r="F17" i="232"/>
  <c r="F16" i="228"/>
  <c r="F16" i="160"/>
  <c r="F17" i="91"/>
  <c r="F16" i="154"/>
  <c r="F17" i="162"/>
  <c r="F17" i="200"/>
  <c r="F16" i="159"/>
  <c r="C13" i="231"/>
  <c r="C13" i="168"/>
  <c r="C13" i="173"/>
  <c r="C13" i="171"/>
  <c r="C13" i="170"/>
  <c r="C13" i="172"/>
  <c r="C13" i="166"/>
  <c r="C13" i="169"/>
  <c r="C13" i="165"/>
  <c r="C13" i="167"/>
  <c r="J15" i="232"/>
  <c r="J14" i="228"/>
  <c r="J14" i="154"/>
  <c r="J15" i="200"/>
  <c r="J14" i="160"/>
  <c r="J15" i="91"/>
  <c r="J14" i="159"/>
  <c r="J14" i="156"/>
  <c r="J15" i="162"/>
  <c r="B14" i="156"/>
  <c r="B15" i="232"/>
  <c r="B14" i="228"/>
  <c r="B15" i="162"/>
  <c r="B14" i="160"/>
  <c r="B15" i="200"/>
  <c r="B14" i="159"/>
  <c r="B14" i="154"/>
  <c r="B15" i="91"/>
  <c r="E14" i="79"/>
  <c r="N12" i="232"/>
  <c r="N11" i="228"/>
  <c r="N12" i="200"/>
  <c r="N11" i="156"/>
  <c r="N11" i="154"/>
  <c r="N11" i="160"/>
  <c r="N11" i="159"/>
  <c r="N12" i="91"/>
  <c r="N12" i="162"/>
  <c r="S30" i="79"/>
  <c r="U30" i="236"/>
  <c r="S16" i="79"/>
  <c r="U16" i="236"/>
  <c r="S29" i="79"/>
  <c r="U29" i="236"/>
  <c r="J16" i="232"/>
  <c r="J15" i="228"/>
  <c r="J15" i="154"/>
  <c r="J15" i="159"/>
  <c r="J16" i="162"/>
  <c r="J16" i="200"/>
  <c r="J15" i="156"/>
  <c r="J16" i="91"/>
  <c r="J15" i="160"/>
  <c r="M15" i="79"/>
  <c r="F17" i="156"/>
  <c r="R17" i="156" s="1"/>
  <c r="F18" i="232"/>
  <c r="R18" i="232" s="1"/>
  <c r="F17" i="228"/>
  <c r="F18" i="162"/>
  <c r="R18" i="162" s="1"/>
  <c r="F17" i="159"/>
  <c r="R17" i="159" s="1"/>
  <c r="F17" i="154"/>
  <c r="R17" i="154" s="1"/>
  <c r="F18" i="91"/>
  <c r="R18" i="91" s="1"/>
  <c r="F17" i="160"/>
  <c r="R17" i="160" s="1"/>
  <c r="F18" i="200"/>
  <c r="R18" i="200" s="1"/>
  <c r="Q19" i="235"/>
  <c r="N19" i="164" s="1"/>
  <c r="J20" i="79"/>
  <c r="M11" i="235"/>
  <c r="J11" i="164" s="1"/>
  <c r="B8" i="79"/>
  <c r="E8" i="236"/>
  <c r="O20" i="79"/>
  <c r="Q20" i="235"/>
  <c r="N20" i="164" s="1"/>
  <c r="Q24" i="235"/>
  <c r="N24" i="164" s="1"/>
  <c r="J28" i="79"/>
  <c r="B11" i="79"/>
  <c r="E11" i="236"/>
  <c r="Q28" i="235"/>
  <c r="N28" i="164" s="1"/>
  <c r="J23" i="79"/>
  <c r="F15" i="79"/>
  <c r="I15" i="236"/>
  <c r="N29" i="79"/>
  <c r="Q16" i="235"/>
  <c r="N16" i="164" s="1"/>
  <c r="O21" i="79"/>
  <c r="Q21" i="235"/>
  <c r="N21" i="164" s="1"/>
  <c r="F11" i="79"/>
  <c r="I8" i="235"/>
  <c r="F8" i="164" s="1"/>
  <c r="Q15" i="235"/>
  <c r="N15" i="164" s="1"/>
  <c r="R18" i="160"/>
  <c r="R18" i="156"/>
  <c r="J40" i="154"/>
  <c r="B15" i="156"/>
  <c r="B16" i="232"/>
  <c r="B15" i="228"/>
  <c r="B16" i="91"/>
  <c r="B15" i="159"/>
  <c r="B15" i="154"/>
  <c r="B16" i="200"/>
  <c r="B16" i="162"/>
  <c r="B15" i="160"/>
  <c r="E15" i="79"/>
  <c r="N7" i="232"/>
  <c r="N7" i="228"/>
  <c r="N7" i="154"/>
  <c r="N7" i="159"/>
  <c r="N7" i="91"/>
  <c r="N7" i="200"/>
  <c r="N7" i="160"/>
  <c r="N7" i="156"/>
  <c r="N7" i="162"/>
  <c r="S24" i="79"/>
  <c r="U24" i="236"/>
  <c r="S18" i="79"/>
  <c r="U18" i="236"/>
  <c r="W7" i="171"/>
  <c r="W7" i="231"/>
  <c r="W7" i="166"/>
  <c r="W7" i="167"/>
  <c r="W7" i="165"/>
  <c r="W7" i="169"/>
  <c r="W7" i="172"/>
  <c r="W7" i="173"/>
  <c r="U7" i="164"/>
  <c r="W7" i="168"/>
  <c r="W7" i="170"/>
  <c r="C14" i="231"/>
  <c r="C14" i="170"/>
  <c r="C14" i="167"/>
  <c r="C14" i="173"/>
  <c r="C14" i="169"/>
  <c r="C14" i="165"/>
  <c r="C14" i="168"/>
  <c r="C14" i="172"/>
  <c r="C14" i="166"/>
  <c r="C14" i="171"/>
  <c r="S26" i="79"/>
  <c r="U26" i="236"/>
  <c r="S12" i="79"/>
  <c r="U12" i="236"/>
  <c r="S13" i="79"/>
  <c r="U13" i="236"/>
  <c r="J43" i="162"/>
  <c r="J43" i="200"/>
  <c r="C7" i="231"/>
  <c r="C7" i="169"/>
  <c r="C7" i="168"/>
  <c r="C7" i="173"/>
  <c r="C7" i="167"/>
  <c r="C7" i="172"/>
  <c r="C7" i="171"/>
  <c r="C7" i="170"/>
  <c r="C7" i="166"/>
  <c r="C7" i="165"/>
  <c r="C15" i="156"/>
  <c r="C16" i="232"/>
  <c r="C15" i="228"/>
  <c r="C16" i="162"/>
  <c r="C15" i="159"/>
  <c r="C16" i="91"/>
  <c r="C16" i="200"/>
  <c r="C15" i="154"/>
  <c r="C15" i="160"/>
  <c r="O15" i="232"/>
  <c r="O14" i="228"/>
  <c r="O14" i="156"/>
  <c r="O14" i="154"/>
  <c r="O14" i="160"/>
  <c r="O15" i="162"/>
  <c r="O15" i="91"/>
  <c r="O14" i="159"/>
  <c r="O15" i="200"/>
  <c r="W14" i="171"/>
  <c r="Y14" i="171" s="1"/>
  <c r="W14" i="231"/>
  <c r="Y14" i="231" s="1"/>
  <c r="W14" i="167"/>
  <c r="Y14" i="167" s="1"/>
  <c r="W14" i="165"/>
  <c r="W14" i="170"/>
  <c r="Y14" i="170" s="1"/>
  <c r="W14" i="173"/>
  <c r="Y14" i="173" s="1"/>
  <c r="W14" i="166"/>
  <c r="Y14" i="166" s="1"/>
  <c r="W14" i="168"/>
  <c r="Y14" i="168" s="1"/>
  <c r="W14" i="169"/>
  <c r="Y14" i="169" s="1"/>
  <c r="W14" i="172"/>
  <c r="Y14" i="172" s="1"/>
  <c r="U14" i="164"/>
  <c r="S27" i="79"/>
  <c r="U27" i="236"/>
  <c r="W21" i="171"/>
  <c r="Y21" i="171" s="1"/>
  <c r="W21" i="231"/>
  <c r="Y21" i="231" s="1"/>
  <c r="W21" i="169"/>
  <c r="Y21" i="169" s="1"/>
  <c r="W21" i="166"/>
  <c r="Y21" i="166" s="1"/>
  <c r="W21" i="168"/>
  <c r="Y21" i="168" s="1"/>
  <c r="W21" i="170"/>
  <c r="Y21" i="170" s="1"/>
  <c r="W21" i="172"/>
  <c r="Y21" i="172" s="1"/>
  <c r="W21" i="165"/>
  <c r="U21" i="164"/>
  <c r="W21" i="173"/>
  <c r="Y21" i="173" s="1"/>
  <c r="W21" i="167"/>
  <c r="Y21" i="167" s="1"/>
  <c r="O14" i="164"/>
  <c r="Q14" i="164" s="1"/>
  <c r="N14" i="231"/>
  <c r="N14" i="166"/>
  <c r="N14" i="171"/>
  <c r="N14" i="172"/>
  <c r="N14" i="169"/>
  <c r="N14" i="165"/>
  <c r="N14" i="168"/>
  <c r="N14" i="167"/>
  <c r="N14" i="170"/>
  <c r="N14" i="173"/>
  <c r="C13" i="156"/>
  <c r="C14" i="232"/>
  <c r="C13" i="228"/>
  <c r="C14" i="91"/>
  <c r="C13" i="159"/>
  <c r="C14" i="200"/>
  <c r="C13" i="160"/>
  <c r="C14" i="162"/>
  <c r="C13" i="154"/>
  <c r="G14" i="164"/>
  <c r="I14" i="164" s="1"/>
  <c r="F14" i="231"/>
  <c r="F14" i="166"/>
  <c r="F14" i="173"/>
  <c r="F14" i="170"/>
  <c r="F14" i="167"/>
  <c r="F14" i="171"/>
  <c r="F14" i="169"/>
  <c r="F14" i="172"/>
  <c r="F14" i="168"/>
  <c r="F14" i="165"/>
  <c r="W8" i="171"/>
  <c r="Y8" i="171" s="1"/>
  <c r="W8" i="231"/>
  <c r="Y8" i="231" s="1"/>
  <c r="W8" i="166"/>
  <c r="Y8" i="166" s="1"/>
  <c r="W8" i="167"/>
  <c r="Y8" i="167" s="1"/>
  <c r="W8" i="170"/>
  <c r="Y8" i="170" s="1"/>
  <c r="W8" i="168"/>
  <c r="Y8" i="168" s="1"/>
  <c r="U8" i="164"/>
  <c r="W8" i="169"/>
  <c r="Y8" i="169" s="1"/>
  <c r="W8" i="165"/>
  <c r="W8" i="173"/>
  <c r="Y8" i="173" s="1"/>
  <c r="W8" i="172"/>
  <c r="Y8" i="172" s="1"/>
  <c r="W25" i="171"/>
  <c r="Y25" i="171" s="1"/>
  <c r="W25" i="231"/>
  <c r="Y25" i="231" s="1"/>
  <c r="W25" i="166"/>
  <c r="Y25" i="166" s="1"/>
  <c r="W25" i="173"/>
  <c r="Y25" i="173" s="1"/>
  <c r="W25" i="170"/>
  <c r="Y25" i="170" s="1"/>
  <c r="W25" i="169"/>
  <c r="Y25" i="169" s="1"/>
  <c r="U25" i="164"/>
  <c r="W25" i="165"/>
  <c r="W25" i="168"/>
  <c r="Y25" i="168" s="1"/>
  <c r="W25" i="167"/>
  <c r="Y25" i="167" s="1"/>
  <c r="W25" i="172"/>
  <c r="Y25" i="172" s="1"/>
  <c r="S15" i="79"/>
  <c r="U15" i="236"/>
  <c r="Q9" i="235"/>
  <c r="N9" i="164" s="1"/>
  <c r="S33" i="79"/>
  <c r="U33" i="236"/>
  <c r="M25" i="235"/>
  <c r="J25" i="164" s="1"/>
  <c r="K25" i="79"/>
  <c r="J25" i="79"/>
  <c r="M25" i="236"/>
  <c r="B9" i="79"/>
  <c r="E9" i="236"/>
  <c r="K27" i="79"/>
  <c r="M27" i="235"/>
  <c r="J27" i="164" s="1"/>
  <c r="Q17" i="235"/>
  <c r="N17" i="164" s="1"/>
  <c r="S34" i="79"/>
  <c r="U34" i="236"/>
  <c r="M18" i="235"/>
  <c r="J18" i="164" s="1"/>
  <c r="B12" i="79"/>
  <c r="E12" i="236"/>
  <c r="B10" i="231"/>
  <c r="B10" i="173"/>
  <c r="B10" i="168"/>
  <c r="B10" i="167"/>
  <c r="B10" i="171"/>
  <c r="B10" i="166"/>
  <c r="B10" i="165"/>
  <c r="B10" i="170"/>
  <c r="B10" i="169"/>
  <c r="B10" i="172"/>
  <c r="E10" i="164"/>
  <c r="B7" i="231"/>
  <c r="B7" i="172"/>
  <c r="B7" i="170"/>
  <c r="B7" i="168"/>
  <c r="B7" i="165"/>
  <c r="B7" i="167"/>
  <c r="B7" i="169"/>
  <c r="B7" i="166"/>
  <c r="B7" i="173"/>
  <c r="B7" i="171"/>
  <c r="E7" i="164"/>
  <c r="M17" i="235"/>
  <c r="J17" i="164" s="1"/>
  <c r="J26" i="79"/>
  <c r="B13" i="169"/>
  <c r="B13" i="173"/>
  <c r="B13" i="172"/>
  <c r="B13" i="171"/>
  <c r="B13" i="166"/>
  <c r="B13" i="165"/>
  <c r="B13" i="170"/>
  <c r="E13" i="164"/>
  <c r="B13" i="231"/>
  <c r="B13" i="168"/>
  <c r="B13" i="167"/>
  <c r="F8" i="79"/>
  <c r="I8" i="236"/>
  <c r="R19" i="200"/>
  <c r="R19" i="162"/>
  <c r="C43" i="162"/>
  <c r="C43" i="91"/>
  <c r="J41" i="200"/>
  <c r="J40" i="228"/>
  <c r="C9" i="231"/>
  <c r="C9" i="173"/>
  <c r="C9" i="166"/>
  <c r="C9" i="170"/>
  <c r="C9" i="169"/>
  <c r="C9" i="171"/>
  <c r="C9" i="168"/>
  <c r="C9" i="165"/>
  <c r="C9" i="167"/>
  <c r="C9" i="172"/>
  <c r="N16" i="232"/>
  <c r="N15" i="228"/>
  <c r="N15" i="154"/>
  <c r="N15" i="159"/>
  <c r="N16" i="162"/>
  <c r="N16" i="200"/>
  <c r="N15" i="156"/>
  <c r="N15" i="160"/>
  <c r="N16" i="91"/>
  <c r="N14" i="232"/>
  <c r="N13" i="228"/>
  <c r="N13" i="154"/>
  <c r="N13" i="159"/>
  <c r="N13" i="156"/>
  <c r="N13" i="160"/>
  <c r="N14" i="162"/>
  <c r="N14" i="200"/>
  <c r="N14" i="91"/>
  <c r="K16" i="232"/>
  <c r="K15" i="228"/>
  <c r="K16" i="200"/>
  <c r="K16" i="91"/>
  <c r="K16" i="162"/>
  <c r="M16" i="162" s="1"/>
  <c r="K15" i="156"/>
  <c r="M15" i="156" s="1"/>
  <c r="K15" i="154"/>
  <c r="M15" i="154" s="1"/>
  <c r="K15" i="160"/>
  <c r="K15" i="159"/>
  <c r="W10" i="171"/>
  <c r="Y10" i="171" s="1"/>
  <c r="W10" i="231"/>
  <c r="Y10" i="231" s="1"/>
  <c r="W10" i="168"/>
  <c r="Y10" i="168" s="1"/>
  <c r="W10" i="169"/>
  <c r="Y10" i="169" s="1"/>
  <c r="W10" i="165"/>
  <c r="W10" i="166"/>
  <c r="Y10" i="166" s="1"/>
  <c r="W10" i="170"/>
  <c r="Y10" i="170" s="1"/>
  <c r="W10" i="172"/>
  <c r="Y10" i="172" s="1"/>
  <c r="W10" i="167"/>
  <c r="Y10" i="167" s="1"/>
  <c r="W10" i="173"/>
  <c r="Y10" i="173" s="1"/>
  <c r="U10" i="164"/>
  <c r="S23" i="79"/>
  <c r="U23" i="236"/>
  <c r="W17" i="171"/>
  <c r="Y17" i="171" s="1"/>
  <c r="W17" i="231"/>
  <c r="Y17" i="231" s="1"/>
  <c r="W17" i="165"/>
  <c r="W17" i="167"/>
  <c r="Y17" i="167" s="1"/>
  <c r="W17" i="166"/>
  <c r="Y17" i="166" s="1"/>
  <c r="W17" i="169"/>
  <c r="Y17" i="169" s="1"/>
  <c r="W17" i="173"/>
  <c r="Y17" i="173" s="1"/>
  <c r="W17" i="170"/>
  <c r="Y17" i="170" s="1"/>
  <c r="W17" i="172"/>
  <c r="Y17" i="172" s="1"/>
  <c r="W17" i="168"/>
  <c r="Y17" i="168" s="1"/>
  <c r="U17" i="164"/>
  <c r="N13" i="232"/>
  <c r="N12" i="228"/>
  <c r="N13" i="91"/>
  <c r="N13" i="200"/>
  <c r="N13" i="162"/>
  <c r="N12" i="160"/>
  <c r="N12" i="156"/>
  <c r="N12" i="154"/>
  <c r="N12" i="159"/>
  <c r="C14" i="156"/>
  <c r="C15" i="232"/>
  <c r="C14" i="228"/>
  <c r="C14" i="160"/>
  <c r="C15" i="200"/>
  <c r="C14" i="154"/>
  <c r="C15" i="162"/>
  <c r="C14" i="159"/>
  <c r="C15" i="91"/>
  <c r="B22" i="156"/>
  <c r="F22" i="228"/>
  <c r="B23" i="232"/>
  <c r="B22" i="228"/>
  <c r="F23" i="232"/>
  <c r="J23" i="232"/>
  <c r="J22" i="228"/>
  <c r="B22" i="160"/>
  <c r="B22" i="159"/>
  <c r="J22" i="156"/>
  <c r="J23" i="200"/>
  <c r="J22" i="159"/>
  <c r="B23" i="200"/>
  <c r="B23" i="162"/>
  <c r="F23" i="200"/>
  <c r="F22" i="160"/>
  <c r="F22" i="154"/>
  <c r="B23" i="91"/>
  <c r="J22" i="154"/>
  <c r="F23" i="91"/>
  <c r="F23" i="162"/>
  <c r="F22" i="159"/>
  <c r="J22" i="160"/>
  <c r="J23" i="91"/>
  <c r="F22" i="156"/>
  <c r="J23" i="162"/>
  <c r="W9" i="171"/>
  <c r="Y9" i="171" s="1"/>
  <c r="W9" i="231"/>
  <c r="Y9" i="231" s="1"/>
  <c r="W9" i="167"/>
  <c r="Y9" i="167" s="1"/>
  <c r="W9" i="172"/>
  <c r="Y9" i="172" s="1"/>
  <c r="W9" i="169"/>
  <c r="Y9" i="169" s="1"/>
  <c r="W9" i="170"/>
  <c r="Y9" i="170" s="1"/>
  <c r="W9" i="165"/>
  <c r="U9" i="164"/>
  <c r="W9" i="166"/>
  <c r="Y9" i="166" s="1"/>
  <c r="W9" i="173"/>
  <c r="Y9" i="173" s="1"/>
  <c r="W9" i="168"/>
  <c r="Y9" i="168" s="1"/>
  <c r="S11" i="79"/>
  <c r="U11" i="236"/>
  <c r="W20" i="171"/>
  <c r="Y20" i="171" s="1"/>
  <c r="W20" i="231"/>
  <c r="Y20" i="231" s="1"/>
  <c r="W20" i="168"/>
  <c r="Y20" i="168" s="1"/>
  <c r="W20" i="167"/>
  <c r="Y20" i="167" s="1"/>
  <c r="U20" i="164"/>
  <c r="W20" i="169"/>
  <c r="Y20" i="169" s="1"/>
  <c r="W20" i="173"/>
  <c r="Y20" i="173" s="1"/>
  <c r="W20" i="172"/>
  <c r="Y20" i="172" s="1"/>
  <c r="W20" i="166"/>
  <c r="Y20" i="166" s="1"/>
  <c r="W20" i="165"/>
  <c r="W20" i="170"/>
  <c r="Y20" i="170" s="1"/>
  <c r="N29" i="232"/>
  <c r="N28" i="228"/>
  <c r="N29" i="91"/>
  <c r="N29" i="162"/>
  <c r="N28" i="160"/>
  <c r="N28" i="159"/>
  <c r="N28" i="156"/>
  <c r="N28" i="154"/>
  <c r="N29" i="200"/>
  <c r="J43" i="91"/>
  <c r="J42" i="91"/>
  <c r="Q14" i="236"/>
  <c r="E16" i="235"/>
  <c r="B16" i="164" s="1"/>
  <c r="C15" i="231"/>
  <c r="C15" i="171"/>
  <c r="C15" i="165"/>
  <c r="C15" i="167"/>
  <c r="C15" i="172"/>
  <c r="C15" i="168"/>
  <c r="C15" i="166"/>
  <c r="C15" i="173"/>
  <c r="C15" i="170"/>
  <c r="C15" i="169"/>
  <c r="N11" i="232"/>
  <c r="N10" i="228"/>
  <c r="N11" i="91"/>
  <c r="N10" i="159"/>
  <c r="N10" i="160"/>
  <c r="N10" i="156"/>
  <c r="N11" i="162"/>
  <c r="N11" i="200"/>
  <c r="N10" i="154"/>
  <c r="S14" i="79"/>
  <c r="U14" i="236"/>
  <c r="W27" i="171"/>
  <c r="Y27" i="171" s="1"/>
  <c r="W27" i="231"/>
  <c r="Y27" i="231" s="1"/>
  <c r="W27" i="165"/>
  <c r="W27" i="173"/>
  <c r="Y27" i="173" s="1"/>
  <c r="W27" i="170"/>
  <c r="Y27" i="170" s="1"/>
  <c r="W27" i="166"/>
  <c r="Y27" i="166" s="1"/>
  <c r="W27" i="172"/>
  <c r="Y27" i="172" s="1"/>
  <c r="U27" i="164"/>
  <c r="W27" i="167"/>
  <c r="Y27" i="167" s="1"/>
  <c r="W27" i="169"/>
  <c r="Y27" i="169" s="1"/>
  <c r="W27" i="168"/>
  <c r="Y27" i="168" s="1"/>
  <c r="S21" i="79"/>
  <c r="U21" i="236"/>
  <c r="C8" i="156"/>
  <c r="C9" i="232"/>
  <c r="C8" i="232"/>
  <c r="C8" i="228"/>
  <c r="C8" i="200"/>
  <c r="C9" i="91"/>
  <c r="C8" i="160"/>
  <c r="C8" i="159"/>
  <c r="C8" i="162"/>
  <c r="C9" i="162"/>
  <c r="C9" i="200"/>
  <c r="C8" i="91"/>
  <c r="C8" i="154"/>
  <c r="N10" i="232"/>
  <c r="N9" i="228"/>
  <c r="N10" i="91"/>
  <c r="N9" i="156"/>
  <c r="N10" i="162"/>
  <c r="N9" i="159"/>
  <c r="N9" i="154"/>
  <c r="N9" i="160"/>
  <c r="N10" i="200"/>
  <c r="G16" i="232"/>
  <c r="G15" i="228"/>
  <c r="G16" i="200"/>
  <c r="G16" i="91"/>
  <c r="G16" i="162"/>
  <c r="G15" i="154"/>
  <c r="G15" i="159"/>
  <c r="G15" i="160"/>
  <c r="G15" i="156"/>
  <c r="S8" i="79"/>
  <c r="U8" i="236"/>
  <c r="S25" i="79"/>
  <c r="U25" i="236"/>
  <c r="W15" i="171"/>
  <c r="Y15" i="171" s="1"/>
  <c r="W15" i="231"/>
  <c r="Y15" i="231" s="1"/>
  <c r="W15" i="168"/>
  <c r="Y15" i="168" s="1"/>
  <c r="W15" i="167"/>
  <c r="Y15" i="167" s="1"/>
  <c r="W15" i="165"/>
  <c r="W15" i="172"/>
  <c r="Y15" i="172" s="1"/>
  <c r="W15" i="173"/>
  <c r="Y15" i="173" s="1"/>
  <c r="W15" i="169"/>
  <c r="Y15" i="169" s="1"/>
  <c r="W15" i="170"/>
  <c r="Y15" i="170" s="1"/>
  <c r="W15" i="166"/>
  <c r="Y15" i="166" s="1"/>
  <c r="U15" i="164"/>
  <c r="G15" i="232"/>
  <c r="G14" i="228"/>
  <c r="G15" i="200"/>
  <c r="G14" i="156"/>
  <c r="G14" i="154"/>
  <c r="G14" i="159"/>
  <c r="G15" i="162"/>
  <c r="G15" i="91"/>
  <c r="G14" i="160"/>
  <c r="B20" i="232"/>
  <c r="B19" i="156"/>
  <c r="B19" i="228"/>
  <c r="F20" i="232"/>
  <c r="F19" i="228"/>
  <c r="J20" i="232"/>
  <c r="J19" i="228"/>
  <c r="J20" i="200"/>
  <c r="B20" i="91"/>
  <c r="B19" i="160"/>
  <c r="J19" i="154"/>
  <c r="J19" i="160"/>
  <c r="J19" i="159"/>
  <c r="B20" i="162"/>
  <c r="F20" i="162"/>
  <c r="B19" i="159"/>
  <c r="B20" i="200"/>
  <c r="J19" i="156"/>
  <c r="J20" i="162"/>
  <c r="F19" i="154"/>
  <c r="F19" i="156"/>
  <c r="J20" i="91"/>
  <c r="F20" i="91"/>
  <c r="F20" i="200"/>
  <c r="F19" i="160"/>
  <c r="F19" i="159"/>
  <c r="N23" i="232"/>
  <c r="N22" i="228"/>
  <c r="N22" i="156"/>
  <c r="N22" i="160"/>
  <c r="N23" i="200"/>
  <c r="N23" i="91"/>
  <c r="N22" i="154"/>
  <c r="N23" i="162"/>
  <c r="N22" i="159"/>
  <c r="O34" i="79"/>
  <c r="O32" i="79"/>
  <c r="O33" i="79"/>
  <c r="O31" i="79"/>
  <c r="M15" i="160" l="1"/>
  <c r="Q14" i="160"/>
  <c r="Q14" i="159"/>
  <c r="Q15" i="200"/>
  <c r="M16" i="200"/>
  <c r="Q14" i="154"/>
  <c r="R16" i="156"/>
  <c r="Z16" i="156" s="1"/>
  <c r="M15" i="159"/>
  <c r="Q15" i="91"/>
  <c r="Q14" i="156"/>
  <c r="M16" i="91"/>
  <c r="Q15" i="162"/>
  <c r="W29" i="171"/>
  <c r="Y29" i="171" s="1"/>
  <c r="W29" i="231"/>
  <c r="Y29" i="231" s="1"/>
  <c r="W29" i="172"/>
  <c r="Y29" i="172" s="1"/>
  <c r="W29" i="173"/>
  <c r="Y29" i="173" s="1"/>
  <c r="W29" i="170"/>
  <c r="Y29" i="170" s="1"/>
  <c r="W29" i="168"/>
  <c r="Y29" i="168" s="1"/>
  <c r="W29" i="165"/>
  <c r="W29" i="169"/>
  <c r="Y29" i="169" s="1"/>
  <c r="U29" i="164"/>
  <c r="W29" i="166"/>
  <c r="Y29" i="166" s="1"/>
  <c r="W29" i="167"/>
  <c r="Y29" i="167" s="1"/>
  <c r="W30" i="171"/>
  <c r="Y30" i="171" s="1"/>
  <c r="U30" i="164"/>
  <c r="W30" i="231"/>
  <c r="Y30" i="231" s="1"/>
  <c r="W30" i="167"/>
  <c r="Y30" i="167" s="1"/>
  <c r="W30" i="165"/>
  <c r="W30" i="168"/>
  <c r="Y30" i="168" s="1"/>
  <c r="W30" i="166"/>
  <c r="Y30" i="166" s="1"/>
  <c r="W30" i="170"/>
  <c r="Y30" i="170" s="1"/>
  <c r="W30" i="172"/>
  <c r="Y30" i="172" s="1"/>
  <c r="W30" i="169"/>
  <c r="Y30" i="169" s="1"/>
  <c r="W30" i="173"/>
  <c r="Y30" i="173" s="1"/>
  <c r="K25" i="164"/>
  <c r="M25" i="164" s="1"/>
  <c r="F25" i="231"/>
  <c r="B25" i="231"/>
  <c r="J25" i="231"/>
  <c r="B25" i="173"/>
  <c r="F25" i="165"/>
  <c r="F25" i="169"/>
  <c r="J25" i="173"/>
  <c r="B25" i="171"/>
  <c r="J25" i="166"/>
  <c r="J25" i="168"/>
  <c r="B25" i="166"/>
  <c r="B25" i="165"/>
  <c r="B25" i="172"/>
  <c r="F25" i="173"/>
  <c r="J25" i="172"/>
  <c r="F25" i="167"/>
  <c r="J25" i="169"/>
  <c r="J25" i="170"/>
  <c r="J25" i="171"/>
  <c r="F25" i="171"/>
  <c r="J25" i="165"/>
  <c r="J25" i="167"/>
  <c r="F25" i="166"/>
  <c r="B25" i="169"/>
  <c r="B25" i="170"/>
  <c r="F25" i="172"/>
  <c r="B25" i="167"/>
  <c r="F25" i="170"/>
  <c r="B25" i="168"/>
  <c r="F25" i="168"/>
  <c r="O20" i="164"/>
  <c r="Q20" i="164" s="1"/>
  <c r="N20" i="231"/>
  <c r="N20" i="166"/>
  <c r="N20" i="171"/>
  <c r="N20" i="172"/>
  <c r="N20" i="168"/>
  <c r="N20" i="169"/>
  <c r="N20" i="170"/>
  <c r="N20" i="173"/>
  <c r="N20" i="167"/>
  <c r="N20" i="165"/>
  <c r="Z17" i="154"/>
  <c r="B27" i="231"/>
  <c r="K27" i="164"/>
  <c r="M27" i="164" s="1"/>
  <c r="F27" i="231"/>
  <c r="J27" i="231"/>
  <c r="F27" i="165"/>
  <c r="B27" i="170"/>
  <c r="F27" i="172"/>
  <c r="B27" i="169"/>
  <c r="F27" i="171"/>
  <c r="J27" i="166"/>
  <c r="B27" i="168"/>
  <c r="F27" i="166"/>
  <c r="F27" i="173"/>
  <c r="J27" i="165"/>
  <c r="B27" i="167"/>
  <c r="F27" i="168"/>
  <c r="B27" i="165"/>
  <c r="F27" i="170"/>
  <c r="B27" i="172"/>
  <c r="J27" i="169"/>
  <c r="B27" i="171"/>
  <c r="F27" i="167"/>
  <c r="J27" i="168"/>
  <c r="B27" i="173"/>
  <c r="F27" i="169"/>
  <c r="J27" i="167"/>
  <c r="B27" i="166"/>
  <c r="J27" i="173"/>
  <c r="J27" i="171"/>
  <c r="J27" i="172"/>
  <c r="J27" i="170"/>
  <c r="O21" i="164"/>
  <c r="N21" i="231"/>
  <c r="N21" i="170"/>
  <c r="N21" i="168"/>
  <c r="N21" i="173"/>
  <c r="N21" i="165"/>
  <c r="N21" i="172"/>
  <c r="N21" i="169"/>
  <c r="N21" i="167"/>
  <c r="N21" i="171"/>
  <c r="N21" i="166"/>
  <c r="AD17" i="159"/>
  <c r="Z17" i="156"/>
  <c r="M20" i="235"/>
  <c r="J20" i="164" s="1"/>
  <c r="Q10" i="235"/>
  <c r="N10" i="164" s="1"/>
  <c r="O33" i="232"/>
  <c r="S33" i="232" s="1"/>
  <c r="O32" i="228"/>
  <c r="S32" i="228" s="1"/>
  <c r="O33" i="91"/>
  <c r="S33" i="91" s="1"/>
  <c r="O32" i="156"/>
  <c r="S32" i="156" s="1"/>
  <c r="O33" i="200"/>
  <c r="S33" i="200" s="1"/>
  <c r="O32" i="154"/>
  <c r="S32" i="154" s="1"/>
  <c r="O33" i="162"/>
  <c r="S33" i="162" s="1"/>
  <c r="O32" i="159"/>
  <c r="S32" i="159" s="1"/>
  <c r="O32" i="160"/>
  <c r="S32" i="160" s="1"/>
  <c r="I7" i="235"/>
  <c r="F7" i="164" s="1"/>
  <c r="I9" i="235"/>
  <c r="F9" i="164" s="1"/>
  <c r="O34" i="232"/>
  <c r="S34" i="232" s="1"/>
  <c r="O33" i="228"/>
  <c r="S33" i="228" s="1"/>
  <c r="O34" i="162"/>
  <c r="S34" i="162" s="1"/>
  <c r="O33" i="154"/>
  <c r="S33" i="154" s="1"/>
  <c r="O34" i="200"/>
  <c r="S34" i="200" s="1"/>
  <c r="O33" i="159"/>
  <c r="S33" i="159" s="1"/>
  <c r="O34" i="91"/>
  <c r="S34" i="91" s="1"/>
  <c r="O33" i="156"/>
  <c r="S33" i="156" s="1"/>
  <c r="O33" i="160"/>
  <c r="S33" i="160" s="1"/>
  <c r="M8" i="235"/>
  <c r="J8" i="164" s="1"/>
  <c r="Q27" i="235"/>
  <c r="N27" i="164" s="1"/>
  <c r="Q8" i="235"/>
  <c r="N8" i="164" s="1"/>
  <c r="M26" i="235"/>
  <c r="J26" i="164" s="1"/>
  <c r="M19" i="235"/>
  <c r="J19" i="164" s="1"/>
  <c r="O30" i="79"/>
  <c r="Q30" i="235"/>
  <c r="N30" i="164" s="1"/>
  <c r="I12" i="235"/>
  <c r="F12" i="164" s="1"/>
  <c r="R19" i="228"/>
  <c r="W26" i="232"/>
  <c r="Y26" i="232" s="1"/>
  <c r="W25" i="228"/>
  <c r="Y25" i="228" s="1"/>
  <c r="C24" i="41"/>
  <c r="W25" i="156"/>
  <c r="Y25" i="156" s="1"/>
  <c r="U25" i="79"/>
  <c r="W25" i="154"/>
  <c r="Y25" i="154" s="1"/>
  <c r="W25" i="159"/>
  <c r="Y25" i="159" s="1"/>
  <c r="W8" i="79"/>
  <c r="Y8" i="236"/>
  <c r="W21" i="79"/>
  <c r="Y21" i="236"/>
  <c r="G9" i="33"/>
  <c r="I9" i="33" s="1"/>
  <c r="Y9" i="165"/>
  <c r="R23" i="91"/>
  <c r="R23" i="162"/>
  <c r="G17" i="33"/>
  <c r="I17" i="33" s="1"/>
  <c r="Y17" i="165"/>
  <c r="W24" i="232"/>
  <c r="Y24" i="232" s="1"/>
  <c r="W23" i="228"/>
  <c r="Y23" i="228" s="1"/>
  <c r="C22" i="41"/>
  <c r="W23" i="156"/>
  <c r="Y23" i="156" s="1"/>
  <c r="U23" i="79"/>
  <c r="W23" i="159"/>
  <c r="Y23" i="159" s="1"/>
  <c r="W23" i="154"/>
  <c r="Y23" i="154" s="1"/>
  <c r="G10" i="33"/>
  <c r="I10" i="33" s="1"/>
  <c r="Y10" i="165"/>
  <c r="F9" i="232"/>
  <c r="F8" i="232"/>
  <c r="F8" i="228"/>
  <c r="F8" i="91"/>
  <c r="F8" i="154"/>
  <c r="F8" i="200"/>
  <c r="F9" i="91"/>
  <c r="F8" i="159"/>
  <c r="F8" i="156"/>
  <c r="F9" i="162"/>
  <c r="F8" i="160"/>
  <c r="F8" i="162"/>
  <c r="F9" i="200"/>
  <c r="I8" i="79"/>
  <c r="E13" i="231"/>
  <c r="E13" i="166"/>
  <c r="E13" i="169"/>
  <c r="B17" i="231"/>
  <c r="K17" i="164"/>
  <c r="J17" i="231"/>
  <c r="B17" i="170"/>
  <c r="B17" i="171"/>
  <c r="B17" i="166"/>
  <c r="J17" i="168"/>
  <c r="J17" i="167"/>
  <c r="B17" i="173"/>
  <c r="B17" i="167"/>
  <c r="J17" i="166"/>
  <c r="J17" i="165"/>
  <c r="B17" i="165"/>
  <c r="J17" i="171"/>
  <c r="B17" i="168"/>
  <c r="J17" i="173"/>
  <c r="B17" i="172"/>
  <c r="J17" i="170"/>
  <c r="J17" i="172"/>
  <c r="B17" i="169"/>
  <c r="J17" i="169"/>
  <c r="M17" i="164"/>
  <c r="E7" i="166"/>
  <c r="E7" i="168"/>
  <c r="E10" i="165"/>
  <c r="E10" i="168"/>
  <c r="B12" i="156"/>
  <c r="B13" i="232"/>
  <c r="B12" i="228"/>
  <c r="B12" i="160"/>
  <c r="B13" i="200"/>
  <c r="B12" i="154"/>
  <c r="B13" i="91"/>
  <c r="B12" i="159"/>
  <c r="B13" i="162"/>
  <c r="E12" i="79"/>
  <c r="W35" i="232"/>
  <c r="Y35" i="232" s="1"/>
  <c r="W34" i="228"/>
  <c r="Y34" i="228" s="1"/>
  <c r="U34" i="79"/>
  <c r="W34" i="154"/>
  <c r="Y34" i="154" s="1"/>
  <c r="W34" i="156"/>
  <c r="Y34" i="156" s="1"/>
  <c r="W34" i="159"/>
  <c r="Y34" i="159" s="1"/>
  <c r="C33" i="41"/>
  <c r="O17" i="164"/>
  <c r="Q17" i="164" s="1"/>
  <c r="N17" i="231"/>
  <c r="N17" i="172"/>
  <c r="N17" i="166"/>
  <c r="N17" i="165"/>
  <c r="N17" i="171"/>
  <c r="N17" i="167"/>
  <c r="N17" i="170"/>
  <c r="N17" i="173"/>
  <c r="N17" i="168"/>
  <c r="N17" i="169"/>
  <c r="G26" i="232"/>
  <c r="C26" i="232"/>
  <c r="C25" i="156"/>
  <c r="C25" i="228"/>
  <c r="G25" i="228"/>
  <c r="K26" i="232"/>
  <c r="K25" i="228"/>
  <c r="G26" i="200"/>
  <c r="G25" i="159"/>
  <c r="G26" i="162"/>
  <c r="C26" i="162"/>
  <c r="K25" i="160"/>
  <c r="C26" i="200"/>
  <c r="C25" i="160"/>
  <c r="K26" i="91"/>
  <c r="C25" i="159"/>
  <c r="K26" i="162"/>
  <c r="K25" i="156"/>
  <c r="K26" i="200"/>
  <c r="G25" i="160"/>
  <c r="C26" i="91"/>
  <c r="G26" i="91"/>
  <c r="G25" i="156"/>
  <c r="K25" i="154"/>
  <c r="K25" i="159"/>
  <c r="G25" i="154"/>
  <c r="W33" i="79"/>
  <c r="Y33" i="236"/>
  <c r="W16" i="232"/>
  <c r="Y16" i="232" s="1"/>
  <c r="W15" i="228"/>
  <c r="Y15" i="228" s="1"/>
  <c r="W15" i="159"/>
  <c r="Y15" i="159" s="1"/>
  <c r="U15" i="79"/>
  <c r="W15" i="156"/>
  <c r="Y15" i="156" s="1"/>
  <c r="C14" i="41"/>
  <c r="W15" i="154"/>
  <c r="Y15" i="154" s="1"/>
  <c r="Z18" i="232"/>
  <c r="E15" i="160"/>
  <c r="E15" i="159"/>
  <c r="W27" i="232"/>
  <c r="Y27" i="232" s="1"/>
  <c r="W26" i="228"/>
  <c r="Y26" i="228" s="1"/>
  <c r="W26" i="156"/>
  <c r="Y26" i="156" s="1"/>
  <c r="U26" i="79"/>
  <c r="W26" i="154"/>
  <c r="Y26" i="154" s="1"/>
  <c r="C25" i="41"/>
  <c r="W26" i="159"/>
  <c r="Y26" i="159" s="1"/>
  <c r="Y7" i="173"/>
  <c r="Y7" i="167"/>
  <c r="W25" i="232"/>
  <c r="Y25" i="232" s="1"/>
  <c r="W24" i="228"/>
  <c r="Y24" i="228" s="1"/>
  <c r="C23" i="41"/>
  <c r="U24" i="79"/>
  <c r="W24" i="154"/>
  <c r="Y24" i="154" s="1"/>
  <c r="W24" i="159"/>
  <c r="Y24" i="159" s="1"/>
  <c r="W24" i="156"/>
  <c r="Y24" i="156" s="1"/>
  <c r="E16" i="232"/>
  <c r="O16" i="164"/>
  <c r="Q16" i="164" s="1"/>
  <c r="N16" i="231"/>
  <c r="N16" i="168"/>
  <c r="N16" i="173"/>
  <c r="N16" i="165"/>
  <c r="N16" i="166"/>
  <c r="N16" i="171"/>
  <c r="N16" i="172"/>
  <c r="N16" i="170"/>
  <c r="N16" i="169"/>
  <c r="N16" i="167"/>
  <c r="O24" i="164"/>
  <c r="Q24" i="164" s="1"/>
  <c r="N24" i="231"/>
  <c r="N24" i="166"/>
  <c r="N24" i="173"/>
  <c r="N24" i="167"/>
  <c r="N24" i="171"/>
  <c r="N24" i="168"/>
  <c r="N24" i="172"/>
  <c r="N24" i="169"/>
  <c r="N24" i="165"/>
  <c r="N24" i="170"/>
  <c r="O21" i="232"/>
  <c r="O20" i="228"/>
  <c r="O21" i="200"/>
  <c r="O21" i="91"/>
  <c r="O21" i="162"/>
  <c r="O20" i="154"/>
  <c r="O20" i="156"/>
  <c r="O20" i="159"/>
  <c r="O20" i="160"/>
  <c r="K11" i="79"/>
  <c r="M11" i="236"/>
  <c r="O19" i="164"/>
  <c r="Q19" i="164" s="1"/>
  <c r="N19" i="231"/>
  <c r="N19" i="165"/>
  <c r="N19" i="167"/>
  <c r="N19" i="169"/>
  <c r="N19" i="168"/>
  <c r="N19" i="170"/>
  <c r="N19" i="173"/>
  <c r="N19" i="172"/>
  <c r="N19" i="166"/>
  <c r="N19" i="171"/>
  <c r="M16" i="232"/>
  <c r="W31" i="232"/>
  <c r="Y31" i="232" s="1"/>
  <c r="W30" i="228"/>
  <c r="Y30" i="228" s="1"/>
  <c r="U30" i="79"/>
  <c r="W30" i="154"/>
  <c r="Y30" i="154" s="1"/>
  <c r="W30" i="156"/>
  <c r="Y30" i="156" s="1"/>
  <c r="W30" i="159"/>
  <c r="Y30" i="159" s="1"/>
  <c r="C29" i="41"/>
  <c r="N43" i="91"/>
  <c r="E15" i="200"/>
  <c r="E15" i="232"/>
  <c r="W29" i="232"/>
  <c r="Y29" i="232" s="1"/>
  <c r="W28" i="228"/>
  <c r="Y28" i="228" s="1"/>
  <c r="W28" i="156"/>
  <c r="Y28" i="156" s="1"/>
  <c r="W28" i="154"/>
  <c r="Y28" i="154" s="1"/>
  <c r="U28" i="79"/>
  <c r="C27" i="41"/>
  <c r="W28" i="159"/>
  <c r="Y28" i="159" s="1"/>
  <c r="G19" i="33"/>
  <c r="I19" i="33" s="1"/>
  <c r="Y19" i="165"/>
  <c r="N42" i="200"/>
  <c r="N42" i="162"/>
  <c r="N42" i="232"/>
  <c r="C41" i="162"/>
  <c r="C41" i="232"/>
  <c r="E15" i="169"/>
  <c r="E15" i="168"/>
  <c r="W7" i="232"/>
  <c r="W7" i="228"/>
  <c r="W7" i="154"/>
  <c r="C6" i="41"/>
  <c r="U7" i="79"/>
  <c r="W7" i="156"/>
  <c r="W7" i="159"/>
  <c r="G18" i="33"/>
  <c r="I18" i="33" s="1"/>
  <c r="Y18" i="165"/>
  <c r="Z19" i="232"/>
  <c r="G17" i="79"/>
  <c r="I17" i="236"/>
  <c r="G14" i="232"/>
  <c r="G13" i="228"/>
  <c r="G13" i="160"/>
  <c r="G14" i="91"/>
  <c r="G14" i="162"/>
  <c r="G13" i="159"/>
  <c r="G13" i="154"/>
  <c r="G13" i="156"/>
  <c r="G14" i="200"/>
  <c r="E9" i="172"/>
  <c r="E9" i="170"/>
  <c r="E9" i="168"/>
  <c r="Q21" i="236"/>
  <c r="E11" i="166"/>
  <c r="E11" i="169"/>
  <c r="B14" i="169"/>
  <c r="B14" i="231"/>
  <c r="B14" i="171"/>
  <c r="B14" i="167"/>
  <c r="B14" i="166"/>
  <c r="B14" i="170"/>
  <c r="B14" i="173"/>
  <c r="B14" i="168"/>
  <c r="E14" i="164"/>
  <c r="B14" i="172"/>
  <c r="B14" i="165"/>
  <c r="W9" i="79"/>
  <c r="Y9" i="236"/>
  <c r="W11" i="232"/>
  <c r="Y11" i="232" s="1"/>
  <c r="W10" i="228"/>
  <c r="Y10" i="228" s="1"/>
  <c r="W10" i="159"/>
  <c r="Y10" i="159" s="1"/>
  <c r="C9" i="41"/>
  <c r="U10" i="79"/>
  <c r="W10" i="156"/>
  <c r="Y10" i="156" s="1"/>
  <c r="W10" i="154"/>
  <c r="Y10" i="154" s="1"/>
  <c r="E16" i="228"/>
  <c r="R16" i="228"/>
  <c r="R16" i="154"/>
  <c r="E16" i="154"/>
  <c r="R16" i="159"/>
  <c r="E16" i="159"/>
  <c r="AD18" i="159"/>
  <c r="O7" i="164"/>
  <c r="Q7" i="164" s="1"/>
  <c r="N7" i="231"/>
  <c r="N7" i="170"/>
  <c r="N7" i="167"/>
  <c r="N7" i="165"/>
  <c r="N7" i="172"/>
  <c r="N7" i="171"/>
  <c r="N7" i="169"/>
  <c r="N7" i="166"/>
  <c r="N7" i="173"/>
  <c r="N7" i="168"/>
  <c r="O22" i="79"/>
  <c r="Q22" i="236"/>
  <c r="Q20" i="236"/>
  <c r="W36" i="232"/>
  <c r="W35" i="228"/>
  <c r="W35" i="159"/>
  <c r="W35" i="154"/>
  <c r="W35" i="156"/>
  <c r="U35" i="79"/>
  <c r="C34" i="41"/>
  <c r="B7" i="156"/>
  <c r="B7" i="232"/>
  <c r="B7" i="228"/>
  <c r="B7" i="154"/>
  <c r="B7" i="91"/>
  <c r="B7" i="162"/>
  <c r="B7" i="160"/>
  <c r="B7" i="159"/>
  <c r="B7" i="200"/>
  <c r="E7" i="79"/>
  <c r="W33" i="232"/>
  <c r="Y33" i="232" s="1"/>
  <c r="W32" i="228"/>
  <c r="Y32" i="228" s="1"/>
  <c r="W32" i="159"/>
  <c r="Y32" i="159" s="1"/>
  <c r="W32" i="154"/>
  <c r="Y32" i="154" s="1"/>
  <c r="U32" i="79"/>
  <c r="W32" i="156"/>
  <c r="Y32" i="156" s="1"/>
  <c r="C31" i="41"/>
  <c r="E12" i="173"/>
  <c r="E12" i="231"/>
  <c r="E12" i="168"/>
  <c r="E8" i="171"/>
  <c r="E8" i="170"/>
  <c r="M22" i="235"/>
  <c r="J22" i="164" s="1"/>
  <c r="Q23" i="235"/>
  <c r="N23" i="164" s="1"/>
  <c r="Q12" i="235"/>
  <c r="N12" i="164" s="1"/>
  <c r="M7" i="235"/>
  <c r="J7" i="164" s="1"/>
  <c r="M24" i="235"/>
  <c r="J24" i="164" s="1"/>
  <c r="Q18" i="235"/>
  <c r="N18" i="164" s="1"/>
  <c r="M21" i="235"/>
  <c r="J21" i="164" s="1"/>
  <c r="Q11" i="235"/>
  <c r="N11" i="164" s="1"/>
  <c r="Q26" i="235"/>
  <c r="N26" i="164" s="1"/>
  <c r="I11" i="235"/>
  <c r="F11" i="164" s="1"/>
  <c r="Q13" i="235"/>
  <c r="N13" i="164" s="1"/>
  <c r="Q29" i="235"/>
  <c r="N29" i="164" s="1"/>
  <c r="M28" i="235"/>
  <c r="J28" i="164" s="1"/>
  <c r="O35" i="232"/>
  <c r="S35" i="232" s="1"/>
  <c r="O34" i="228"/>
  <c r="S34" i="228" s="1"/>
  <c r="O34" i="160"/>
  <c r="S34" i="160" s="1"/>
  <c r="O34" i="154"/>
  <c r="S34" i="154" s="1"/>
  <c r="O35" i="200"/>
  <c r="S35" i="200" s="1"/>
  <c r="O35" i="162"/>
  <c r="S35" i="162" s="1"/>
  <c r="O34" i="159"/>
  <c r="S34" i="159" s="1"/>
  <c r="O35" i="91"/>
  <c r="S35" i="91" s="1"/>
  <c r="O34" i="156"/>
  <c r="S34" i="156" s="1"/>
  <c r="I10" i="235"/>
  <c r="F10" i="164" s="1"/>
  <c r="R20" i="162"/>
  <c r="R19" i="160"/>
  <c r="R19" i="156"/>
  <c r="W25" i="79"/>
  <c r="Y25" i="236"/>
  <c r="Y27" i="165"/>
  <c r="G27" i="33"/>
  <c r="I27" i="33" s="1"/>
  <c r="W15" i="232"/>
  <c r="Y15" i="232" s="1"/>
  <c r="W14" i="228"/>
  <c r="Y14" i="228" s="1"/>
  <c r="W14" i="159"/>
  <c r="Y14" i="159" s="1"/>
  <c r="C13" i="41"/>
  <c r="W14" i="156"/>
  <c r="Y14" i="156" s="1"/>
  <c r="U14" i="79"/>
  <c r="W14" i="154"/>
  <c r="Y14" i="154" s="1"/>
  <c r="R22" i="154"/>
  <c r="R23" i="200"/>
  <c r="R22" i="159"/>
  <c r="R22" i="156"/>
  <c r="W23" i="79"/>
  <c r="Y23" i="236"/>
  <c r="E13" i="171"/>
  <c r="E7" i="169"/>
  <c r="E7" i="170"/>
  <c r="E10" i="172"/>
  <c r="E10" i="166"/>
  <c r="E10" i="173"/>
  <c r="K18" i="164"/>
  <c r="B18" i="231"/>
  <c r="F18" i="231"/>
  <c r="J18" i="231"/>
  <c r="B18" i="171"/>
  <c r="B18" i="173"/>
  <c r="J18" i="172"/>
  <c r="J18" i="171"/>
  <c r="J18" i="167"/>
  <c r="F18" i="167"/>
  <c r="B18" i="170"/>
  <c r="F18" i="171"/>
  <c r="B18" i="172"/>
  <c r="J18" i="170"/>
  <c r="B18" i="165"/>
  <c r="B18" i="168"/>
  <c r="F18" i="169"/>
  <c r="F18" i="172"/>
  <c r="F18" i="173"/>
  <c r="J18" i="173"/>
  <c r="F18" i="168"/>
  <c r="F18" i="170"/>
  <c r="F18" i="165"/>
  <c r="J18" i="168"/>
  <c r="J18" i="169"/>
  <c r="F18" i="166"/>
  <c r="J18" i="165"/>
  <c r="B18" i="169"/>
  <c r="B18" i="166"/>
  <c r="J18" i="166"/>
  <c r="B18" i="167"/>
  <c r="W34" i="79"/>
  <c r="Y34" i="236"/>
  <c r="O17" i="79"/>
  <c r="Q17" i="236"/>
  <c r="B9" i="156"/>
  <c r="B10" i="232"/>
  <c r="B9" i="228"/>
  <c r="B10" i="91"/>
  <c r="B10" i="162"/>
  <c r="B9" i="160"/>
  <c r="B9" i="159"/>
  <c r="B10" i="200"/>
  <c r="B9" i="154"/>
  <c r="E9" i="79"/>
  <c r="O9" i="164"/>
  <c r="Q9" i="164" s="1"/>
  <c r="N9" i="231"/>
  <c r="N9" i="172"/>
  <c r="N9" i="169"/>
  <c r="N9" i="165"/>
  <c r="N9" i="167"/>
  <c r="N9" i="168"/>
  <c r="N9" i="166"/>
  <c r="N9" i="173"/>
  <c r="N9" i="170"/>
  <c r="N9" i="171"/>
  <c r="W15" i="79"/>
  <c r="Y15" i="236"/>
  <c r="Y25" i="165"/>
  <c r="G25" i="33"/>
  <c r="I25" i="33" s="1"/>
  <c r="O14" i="231"/>
  <c r="Q14" i="231" s="1"/>
  <c r="O14" i="168"/>
  <c r="Q14" i="168" s="1"/>
  <c r="O14" i="165"/>
  <c r="Q14" i="165" s="1"/>
  <c r="O14" i="172"/>
  <c r="Q14" i="172" s="1"/>
  <c r="O14" i="171"/>
  <c r="Q14" i="171" s="1"/>
  <c r="O14" i="167"/>
  <c r="Q14" i="167" s="1"/>
  <c r="O14" i="166"/>
  <c r="Q14" i="166" s="1"/>
  <c r="O14" i="169"/>
  <c r="Q14" i="169" s="1"/>
  <c r="O14" i="170"/>
  <c r="Q14" i="170" s="1"/>
  <c r="O14" i="173"/>
  <c r="Q14" i="173" s="1"/>
  <c r="G21" i="33"/>
  <c r="I21" i="33" s="1"/>
  <c r="Y21" i="165"/>
  <c r="E15" i="154"/>
  <c r="E16" i="162"/>
  <c r="W13" i="232"/>
  <c r="Y13" i="232" s="1"/>
  <c r="W12" i="228"/>
  <c r="Y12" i="228" s="1"/>
  <c r="W12" i="159"/>
  <c r="Y12" i="159" s="1"/>
  <c r="W12" i="156"/>
  <c r="Y12" i="156" s="1"/>
  <c r="W12" i="154"/>
  <c r="Y12" i="154" s="1"/>
  <c r="U12" i="79"/>
  <c r="C11" i="41"/>
  <c r="W26" i="79"/>
  <c r="Y26" i="236"/>
  <c r="Y7" i="170"/>
  <c r="Y7" i="172"/>
  <c r="Y7" i="166"/>
  <c r="W19" i="232"/>
  <c r="Y19" i="232" s="1"/>
  <c r="W18" i="228"/>
  <c r="Y18" i="228" s="1"/>
  <c r="W18" i="159"/>
  <c r="Y18" i="159" s="1"/>
  <c r="C17" i="41"/>
  <c r="E17" i="41" s="1"/>
  <c r="W18" i="156"/>
  <c r="Y18" i="156" s="1"/>
  <c r="U18" i="79"/>
  <c r="W18" i="154"/>
  <c r="Y18" i="154" s="1"/>
  <c r="W24" i="79"/>
  <c r="Y24" i="236"/>
  <c r="N40" i="154"/>
  <c r="E15" i="156"/>
  <c r="Z18" i="156"/>
  <c r="O15" i="79"/>
  <c r="Q15" i="236"/>
  <c r="F12" i="232"/>
  <c r="F11" i="228"/>
  <c r="F12" i="91"/>
  <c r="F12" i="162"/>
  <c r="F12" i="200"/>
  <c r="F11" i="159"/>
  <c r="F11" i="156"/>
  <c r="F11" i="154"/>
  <c r="F11" i="160"/>
  <c r="O16" i="79"/>
  <c r="Q16" i="236"/>
  <c r="F16" i="232"/>
  <c r="I16" i="232" s="1"/>
  <c r="F15" i="228"/>
  <c r="I15" i="228" s="1"/>
  <c r="F15" i="154"/>
  <c r="I15" i="154" s="1"/>
  <c r="F16" i="162"/>
  <c r="I16" i="162" s="1"/>
  <c r="F15" i="159"/>
  <c r="I15" i="159" s="1"/>
  <c r="F15" i="160"/>
  <c r="I15" i="160" s="1"/>
  <c r="F16" i="200"/>
  <c r="I16" i="200" s="1"/>
  <c r="F15" i="156"/>
  <c r="I15" i="156" s="1"/>
  <c r="F16" i="91"/>
  <c r="I16" i="91" s="1"/>
  <c r="I15" i="79"/>
  <c r="B11" i="156"/>
  <c r="B12" i="232"/>
  <c r="B11" i="228"/>
  <c r="B12" i="91"/>
  <c r="B11" i="159"/>
  <c r="B12" i="200"/>
  <c r="B12" i="162"/>
  <c r="B11" i="160"/>
  <c r="B11" i="154"/>
  <c r="E11" i="79"/>
  <c r="O24" i="79"/>
  <c r="Q24" i="236"/>
  <c r="W17" i="232"/>
  <c r="Y17" i="232" s="1"/>
  <c r="W16" i="228"/>
  <c r="Y16" i="228" s="1"/>
  <c r="W16" i="154"/>
  <c r="Y16" i="154" s="1"/>
  <c r="W16" i="159"/>
  <c r="Y16" i="159" s="1"/>
  <c r="C15" i="41"/>
  <c r="W16" i="156"/>
  <c r="Y16" i="156" s="1"/>
  <c r="U16" i="79"/>
  <c r="W30" i="79"/>
  <c r="Y30" i="236"/>
  <c r="N43" i="200"/>
  <c r="E15" i="91"/>
  <c r="E14" i="160"/>
  <c r="E14" i="156"/>
  <c r="W23" i="232"/>
  <c r="Y23" i="232" s="1"/>
  <c r="W22" i="228"/>
  <c r="Y22" i="228" s="1"/>
  <c r="W22" i="156"/>
  <c r="Y22" i="156" s="1"/>
  <c r="W22" i="159"/>
  <c r="Y22" i="159" s="1"/>
  <c r="C21" i="41"/>
  <c r="W22" i="154"/>
  <c r="Y22" i="154" s="1"/>
  <c r="U22" i="79"/>
  <c r="W28" i="79"/>
  <c r="Y28" i="236"/>
  <c r="C41" i="91"/>
  <c r="Y13" i="165"/>
  <c r="G13" i="33"/>
  <c r="I13" i="33" s="1"/>
  <c r="G12" i="33"/>
  <c r="I12" i="33" s="1"/>
  <c r="Y12" i="165"/>
  <c r="Y26" i="165"/>
  <c r="G26" i="33"/>
  <c r="I26" i="33" s="1"/>
  <c r="K14" i="164"/>
  <c r="M14" i="164" s="1"/>
  <c r="J14" i="231"/>
  <c r="J14" i="170"/>
  <c r="J14" i="166"/>
  <c r="J14" i="169"/>
  <c r="J14" i="172"/>
  <c r="J14" i="167"/>
  <c r="J14" i="165"/>
  <c r="J14" i="173"/>
  <c r="J14" i="171"/>
  <c r="J14" i="168"/>
  <c r="E15" i="172"/>
  <c r="E15" i="231"/>
  <c r="E15" i="166"/>
  <c r="W7" i="79"/>
  <c r="Y7" i="236"/>
  <c r="F10" i="232"/>
  <c r="F9" i="228"/>
  <c r="F9" i="156"/>
  <c r="F9" i="159"/>
  <c r="F9" i="154"/>
  <c r="F9" i="160"/>
  <c r="F10" i="162"/>
  <c r="F10" i="200"/>
  <c r="F10" i="91"/>
  <c r="W37" i="232"/>
  <c r="W36" i="228"/>
  <c r="U36" i="79"/>
  <c r="W36" i="156"/>
  <c r="W36" i="159"/>
  <c r="W36" i="154"/>
  <c r="C35" i="41"/>
  <c r="E9" i="165"/>
  <c r="E9" i="167"/>
  <c r="E9" i="231"/>
  <c r="N22" i="232"/>
  <c r="N21" i="228"/>
  <c r="N21" i="154"/>
  <c r="N21" i="160"/>
  <c r="N22" i="200"/>
  <c r="N22" i="91"/>
  <c r="N22" i="162"/>
  <c r="N21" i="156"/>
  <c r="N21" i="159"/>
  <c r="Q21" i="79"/>
  <c r="F15" i="232"/>
  <c r="I15" i="232" s="1"/>
  <c r="F14" i="228"/>
  <c r="I14" i="228" s="1"/>
  <c r="F15" i="162"/>
  <c r="I15" i="162" s="1"/>
  <c r="F14" i="156"/>
  <c r="I14" i="156" s="1"/>
  <c r="F14" i="160"/>
  <c r="I14" i="160" s="1"/>
  <c r="F15" i="200"/>
  <c r="I15" i="200" s="1"/>
  <c r="F14" i="154"/>
  <c r="I14" i="154" s="1"/>
  <c r="F15" i="91"/>
  <c r="I15" i="91" s="1"/>
  <c r="F14" i="159"/>
  <c r="I14" i="159" s="1"/>
  <c r="I14" i="79"/>
  <c r="O25" i="164"/>
  <c r="Q25" i="164" s="1"/>
  <c r="N25" i="231"/>
  <c r="N25" i="167"/>
  <c r="N25" i="173"/>
  <c r="N25" i="170"/>
  <c r="N25" i="169"/>
  <c r="N25" i="168"/>
  <c r="N25" i="171"/>
  <c r="N25" i="165"/>
  <c r="N25" i="172"/>
  <c r="N25" i="166"/>
  <c r="E11" i="173"/>
  <c r="E11" i="170"/>
  <c r="E11" i="165"/>
  <c r="Y28" i="165"/>
  <c r="G28" i="33"/>
  <c r="I28" i="33" s="1"/>
  <c r="Q14" i="228"/>
  <c r="W21" i="232"/>
  <c r="Y21" i="232" s="1"/>
  <c r="W20" i="228"/>
  <c r="Y20" i="228" s="1"/>
  <c r="W20" i="159"/>
  <c r="Y20" i="159" s="1"/>
  <c r="W20" i="154"/>
  <c r="Y20" i="154" s="1"/>
  <c r="C19" i="41"/>
  <c r="W20" i="156"/>
  <c r="Y20" i="156" s="1"/>
  <c r="U20" i="79"/>
  <c r="W10" i="79"/>
  <c r="Y10" i="236"/>
  <c r="G15" i="231"/>
  <c r="I15" i="231" s="1"/>
  <c r="G15" i="172"/>
  <c r="I15" i="172" s="1"/>
  <c r="G15" i="169"/>
  <c r="I15" i="169" s="1"/>
  <c r="G15" i="170"/>
  <c r="I15" i="170" s="1"/>
  <c r="G15" i="173"/>
  <c r="I15" i="173" s="1"/>
  <c r="G15" i="166"/>
  <c r="G15" i="171"/>
  <c r="I15" i="171" s="1"/>
  <c r="G15" i="165"/>
  <c r="I15" i="165" s="1"/>
  <c r="G15" i="168"/>
  <c r="I15" i="168" s="1"/>
  <c r="G15" i="167"/>
  <c r="I15" i="167" s="1"/>
  <c r="E17" i="232"/>
  <c r="R17" i="232"/>
  <c r="E16" i="156"/>
  <c r="R17" i="162"/>
  <c r="E17" i="162"/>
  <c r="F11" i="232"/>
  <c r="F10" i="228"/>
  <c r="F11" i="91"/>
  <c r="F10" i="159"/>
  <c r="F10" i="160"/>
  <c r="F10" i="154"/>
  <c r="F11" i="162"/>
  <c r="F11" i="200"/>
  <c r="F10" i="156"/>
  <c r="B13" i="156"/>
  <c r="B14" i="232"/>
  <c r="B13" i="228"/>
  <c r="B13" i="160"/>
  <c r="B14" i="162"/>
  <c r="B13" i="154"/>
  <c r="B14" i="91"/>
  <c r="B14" i="200"/>
  <c r="B13" i="159"/>
  <c r="E13" i="79"/>
  <c r="G16" i="79"/>
  <c r="I16" i="236"/>
  <c r="N21" i="232"/>
  <c r="N20" i="228"/>
  <c r="N21" i="162"/>
  <c r="N20" i="154"/>
  <c r="N20" i="156"/>
  <c r="N40" i="156" s="1"/>
  <c r="N20" i="160"/>
  <c r="N21" i="91"/>
  <c r="N21" i="200"/>
  <c r="N20" i="159"/>
  <c r="N40" i="159" s="1"/>
  <c r="Q20" i="79"/>
  <c r="W35" i="79"/>
  <c r="Y35" i="236"/>
  <c r="K16" i="164"/>
  <c r="M16" i="164" s="1"/>
  <c r="J16" i="231"/>
  <c r="J16" i="165"/>
  <c r="J16" i="167"/>
  <c r="J16" i="166"/>
  <c r="J16" i="170"/>
  <c r="J16" i="168"/>
  <c r="J16" i="173"/>
  <c r="J16" i="169"/>
  <c r="J16" i="172"/>
  <c r="J16" i="171"/>
  <c r="W32" i="79"/>
  <c r="Y32" i="236"/>
  <c r="E12" i="167"/>
  <c r="E12" i="170"/>
  <c r="E8" i="165"/>
  <c r="E8" i="167"/>
  <c r="O32" i="232"/>
  <c r="S32" i="232" s="1"/>
  <c r="O31" i="228"/>
  <c r="S31" i="228" s="1"/>
  <c r="O32" i="162"/>
  <c r="S32" i="162" s="1"/>
  <c r="O31" i="154"/>
  <c r="S31" i="154" s="1"/>
  <c r="O31" i="160"/>
  <c r="S31" i="160" s="1"/>
  <c r="O31" i="159"/>
  <c r="S31" i="159" s="1"/>
  <c r="O32" i="200"/>
  <c r="S32" i="200" s="1"/>
  <c r="O32" i="91"/>
  <c r="S32" i="91" s="1"/>
  <c r="O31" i="156"/>
  <c r="S31" i="156" s="1"/>
  <c r="M12" i="235"/>
  <c r="J12" i="164" s="1"/>
  <c r="M23" i="235"/>
  <c r="J23" i="164" s="1"/>
  <c r="N30" i="79"/>
  <c r="Q30" i="236"/>
  <c r="R20" i="200"/>
  <c r="R20" i="91"/>
  <c r="R20" i="232"/>
  <c r="Y15" i="165"/>
  <c r="G15" i="33"/>
  <c r="I15" i="33" s="1"/>
  <c r="C42" i="200"/>
  <c r="W14" i="79"/>
  <c r="Y14" i="236"/>
  <c r="W12" i="232"/>
  <c r="W11" i="228"/>
  <c r="W11" i="159"/>
  <c r="Y11" i="159" s="1"/>
  <c r="W11" i="156"/>
  <c r="Y11" i="156" s="1"/>
  <c r="W11" i="154"/>
  <c r="C10" i="41"/>
  <c r="U11" i="79"/>
  <c r="R22" i="160"/>
  <c r="R22" i="228"/>
  <c r="E13" i="167"/>
  <c r="E13" i="170"/>
  <c r="E13" i="172"/>
  <c r="B26" i="156"/>
  <c r="F26" i="228"/>
  <c r="F27" i="232"/>
  <c r="B26" i="228"/>
  <c r="B27" i="232"/>
  <c r="J27" i="232"/>
  <c r="J26" i="228"/>
  <c r="B26" i="159"/>
  <c r="J27" i="200"/>
  <c r="F27" i="162"/>
  <c r="J26" i="156"/>
  <c r="J26" i="159"/>
  <c r="F26" i="159"/>
  <c r="B26" i="160"/>
  <c r="J27" i="162"/>
  <c r="B27" i="162"/>
  <c r="B27" i="200"/>
  <c r="J27" i="91"/>
  <c r="F27" i="200"/>
  <c r="J26" i="154"/>
  <c r="F27" i="91"/>
  <c r="F26" i="156"/>
  <c r="J26" i="160"/>
  <c r="F26" i="160"/>
  <c r="F26" i="154"/>
  <c r="B27" i="91"/>
  <c r="E7" i="171"/>
  <c r="E7" i="167"/>
  <c r="E7" i="172"/>
  <c r="E10" i="169"/>
  <c r="E10" i="171"/>
  <c r="E10" i="231"/>
  <c r="K18" i="79"/>
  <c r="M18" i="236"/>
  <c r="O9" i="79"/>
  <c r="Q9" i="236"/>
  <c r="W28" i="232"/>
  <c r="Y28" i="232" s="1"/>
  <c r="W27" i="228"/>
  <c r="Y27" i="228" s="1"/>
  <c r="W27" i="156"/>
  <c r="Y27" i="156" s="1"/>
  <c r="C26" i="41"/>
  <c r="W27" i="154"/>
  <c r="Y27" i="154" s="1"/>
  <c r="W27" i="159"/>
  <c r="Y27" i="159" s="1"/>
  <c r="U27" i="79"/>
  <c r="E16" i="200"/>
  <c r="W14" i="232"/>
  <c r="W13" i="228"/>
  <c r="Y13" i="228" s="1"/>
  <c r="W13" i="156"/>
  <c r="Y13" i="156" s="1"/>
  <c r="U13" i="79"/>
  <c r="W13" i="159"/>
  <c r="Y13" i="159" s="1"/>
  <c r="W13" i="154"/>
  <c r="Y13" i="154" s="1"/>
  <c r="C12" i="41"/>
  <c r="W12" i="79"/>
  <c r="Y12" i="236"/>
  <c r="Y7" i="168"/>
  <c r="Y7" i="169"/>
  <c r="Y7" i="231"/>
  <c r="W18" i="79"/>
  <c r="Y18" i="236"/>
  <c r="N41" i="200"/>
  <c r="N40" i="228"/>
  <c r="O15" i="164"/>
  <c r="Q15" i="164" s="1"/>
  <c r="N15" i="231"/>
  <c r="R15" i="231" s="1"/>
  <c r="N15" i="165"/>
  <c r="R15" i="165" s="1"/>
  <c r="N15" i="169"/>
  <c r="R15" i="169" s="1"/>
  <c r="N15" i="170"/>
  <c r="R15" i="170" s="1"/>
  <c r="N15" i="167"/>
  <c r="R15" i="167" s="1"/>
  <c r="N15" i="168"/>
  <c r="R15" i="168" s="1"/>
  <c r="N15" i="172"/>
  <c r="R15" i="172" s="1"/>
  <c r="N15" i="166"/>
  <c r="R15" i="166" s="1"/>
  <c r="N15" i="171"/>
  <c r="R15" i="171" s="1"/>
  <c r="N15" i="173"/>
  <c r="R15" i="173" s="1"/>
  <c r="O28" i="164"/>
  <c r="Q28" i="164" s="1"/>
  <c r="N28" i="231"/>
  <c r="N28" i="172"/>
  <c r="N28" i="167"/>
  <c r="N28" i="166"/>
  <c r="N28" i="169"/>
  <c r="N28" i="171"/>
  <c r="N28" i="168"/>
  <c r="N28" i="165"/>
  <c r="N28" i="170"/>
  <c r="N28" i="173"/>
  <c r="B8" i="156"/>
  <c r="B9" i="232"/>
  <c r="B8" i="232"/>
  <c r="B8" i="228"/>
  <c r="B8" i="91"/>
  <c r="B8" i="154"/>
  <c r="B8" i="162"/>
  <c r="B9" i="91"/>
  <c r="B8" i="200"/>
  <c r="B9" i="200"/>
  <c r="B8" i="160"/>
  <c r="B8" i="159"/>
  <c r="B9" i="162"/>
  <c r="E8" i="79"/>
  <c r="B21" i="232"/>
  <c r="F21" i="232"/>
  <c r="B20" i="228"/>
  <c r="B20" i="156"/>
  <c r="F20" i="228"/>
  <c r="J21" i="232"/>
  <c r="J20" i="228"/>
  <c r="F21" i="200"/>
  <c r="B21" i="162"/>
  <c r="B20" i="160"/>
  <c r="J21" i="200"/>
  <c r="B20" i="159"/>
  <c r="B21" i="91"/>
  <c r="F20" i="160"/>
  <c r="B21" i="200"/>
  <c r="F20" i="154"/>
  <c r="F21" i="91"/>
  <c r="J20" i="160"/>
  <c r="J20" i="154"/>
  <c r="J20" i="156"/>
  <c r="J40" i="156" s="1"/>
  <c r="F20" i="159"/>
  <c r="J21" i="162"/>
  <c r="F20" i="156"/>
  <c r="J21" i="91"/>
  <c r="F21" i="162"/>
  <c r="J20" i="159"/>
  <c r="W30" i="232"/>
  <c r="Y30" i="232" s="1"/>
  <c r="W29" i="228"/>
  <c r="Y29" i="228" s="1"/>
  <c r="W29" i="159"/>
  <c r="Y29" i="159" s="1"/>
  <c r="W29" i="154"/>
  <c r="Y29" i="154" s="1"/>
  <c r="C28" i="41"/>
  <c r="W29" i="156"/>
  <c r="Y29" i="156" s="1"/>
  <c r="U29" i="79"/>
  <c r="W16" i="79"/>
  <c r="Y16" i="236"/>
  <c r="E14" i="154"/>
  <c r="E15" i="162"/>
  <c r="W22" i="79"/>
  <c r="Y22" i="236"/>
  <c r="N42" i="91"/>
  <c r="C40" i="154"/>
  <c r="K14" i="79"/>
  <c r="M14" i="236"/>
  <c r="E15" i="167"/>
  <c r="E15" i="171"/>
  <c r="E15" i="170"/>
  <c r="G24" i="33"/>
  <c r="I24" i="33" s="1"/>
  <c r="Y24" i="165"/>
  <c r="F13" i="232"/>
  <c r="F12" i="228"/>
  <c r="F12" i="156"/>
  <c r="F13" i="200"/>
  <c r="F13" i="91"/>
  <c r="F12" i="160"/>
  <c r="F13" i="162"/>
  <c r="F12" i="159"/>
  <c r="F12" i="154"/>
  <c r="G13" i="164"/>
  <c r="F13" i="231"/>
  <c r="F13" i="172"/>
  <c r="F13" i="173"/>
  <c r="F13" i="170"/>
  <c r="F13" i="167"/>
  <c r="F13" i="166"/>
  <c r="F13" i="169"/>
  <c r="F13" i="171"/>
  <c r="F13" i="168"/>
  <c r="F13" i="165"/>
  <c r="W38" i="232"/>
  <c r="W37" i="228"/>
  <c r="W37" i="159"/>
  <c r="W37" i="154"/>
  <c r="U37" i="79"/>
  <c r="W37" i="156"/>
  <c r="C36" i="41"/>
  <c r="W36" i="79"/>
  <c r="Y36" i="236"/>
  <c r="E9" i="166"/>
  <c r="E9" i="169"/>
  <c r="K10" i="164"/>
  <c r="M10" i="164" s="1"/>
  <c r="J10" i="231"/>
  <c r="J10" i="168"/>
  <c r="J10" i="169"/>
  <c r="J10" i="167"/>
  <c r="J10" i="170"/>
  <c r="J10" i="165"/>
  <c r="J10" i="172"/>
  <c r="J10" i="173"/>
  <c r="J10" i="171"/>
  <c r="J10" i="166"/>
  <c r="M27" i="236"/>
  <c r="O25" i="79"/>
  <c r="Q25" i="236"/>
  <c r="E11" i="168"/>
  <c r="E11" i="172"/>
  <c r="E11" i="231"/>
  <c r="R17" i="228"/>
  <c r="K14" i="232"/>
  <c r="K13" i="228"/>
  <c r="M13" i="228" s="1"/>
  <c r="K13" i="154"/>
  <c r="M13" i="154" s="1"/>
  <c r="K14" i="162"/>
  <c r="K14" i="91"/>
  <c r="K13" i="159"/>
  <c r="M13" i="159" s="1"/>
  <c r="K13" i="160"/>
  <c r="M13" i="160" s="1"/>
  <c r="K13" i="156"/>
  <c r="M13" i="156" s="1"/>
  <c r="K14" i="200"/>
  <c r="M13" i="79"/>
  <c r="W20" i="232"/>
  <c r="Y20" i="232" s="1"/>
  <c r="W19" i="228"/>
  <c r="Y19" i="228" s="1"/>
  <c r="W19" i="159"/>
  <c r="Y19" i="159" s="1"/>
  <c r="W19" i="156"/>
  <c r="Y19" i="156" s="1"/>
  <c r="C18" i="41"/>
  <c r="U19" i="79"/>
  <c r="W19" i="154"/>
  <c r="Y19" i="154" s="1"/>
  <c r="Q15" i="232"/>
  <c r="W20" i="79"/>
  <c r="Y20" i="236"/>
  <c r="W18" i="232"/>
  <c r="Y18" i="232" s="1"/>
  <c r="W17" i="228"/>
  <c r="Y17" i="228" s="1"/>
  <c r="W17" i="156"/>
  <c r="Y17" i="156" s="1"/>
  <c r="U17" i="79"/>
  <c r="W17" i="159"/>
  <c r="Y17" i="159" s="1"/>
  <c r="W17" i="154"/>
  <c r="Y17" i="154" s="1"/>
  <c r="C16" i="41"/>
  <c r="R17" i="200"/>
  <c r="E17" i="200"/>
  <c r="R16" i="160"/>
  <c r="E16" i="160"/>
  <c r="Z18" i="228"/>
  <c r="Z18" i="154"/>
  <c r="I13" i="236"/>
  <c r="G16" i="164"/>
  <c r="I16" i="164" s="1"/>
  <c r="F16" i="231"/>
  <c r="F16" i="173"/>
  <c r="F16" i="168"/>
  <c r="F16" i="171"/>
  <c r="F16" i="172"/>
  <c r="F16" i="170"/>
  <c r="F16" i="169"/>
  <c r="F16" i="165"/>
  <c r="F16" i="167"/>
  <c r="F16" i="166"/>
  <c r="W32" i="232"/>
  <c r="Y32" i="232" s="1"/>
  <c r="W31" i="228"/>
  <c r="Y31" i="228" s="1"/>
  <c r="W31" i="156"/>
  <c r="Y31" i="156" s="1"/>
  <c r="U31" i="79"/>
  <c r="W31" i="159"/>
  <c r="Y31" i="159" s="1"/>
  <c r="W31" i="154"/>
  <c r="Y31" i="154" s="1"/>
  <c r="C30" i="41"/>
  <c r="K16" i="79"/>
  <c r="M16" i="236"/>
  <c r="B10" i="156"/>
  <c r="B11" i="232"/>
  <c r="B10" i="228"/>
  <c r="B10" i="160"/>
  <c r="B11" i="200"/>
  <c r="B11" i="91"/>
  <c r="B11" i="162"/>
  <c r="B10" i="159"/>
  <c r="B10" i="154"/>
  <c r="E10" i="79"/>
  <c r="F22" i="232"/>
  <c r="B21" i="156"/>
  <c r="B21" i="228"/>
  <c r="B22" i="232"/>
  <c r="F21" i="228"/>
  <c r="J22" i="232"/>
  <c r="J21" i="228"/>
  <c r="J21" i="154"/>
  <c r="F21" i="160"/>
  <c r="J21" i="160"/>
  <c r="F21" i="156"/>
  <c r="J22" i="200"/>
  <c r="F22" i="162"/>
  <c r="B21" i="159"/>
  <c r="F22" i="91"/>
  <c r="F21" i="154"/>
  <c r="B22" i="162"/>
  <c r="J22" i="91"/>
  <c r="F22" i="200"/>
  <c r="B22" i="200"/>
  <c r="J21" i="159"/>
  <c r="B21" i="160"/>
  <c r="J22" i="162"/>
  <c r="F21" i="159"/>
  <c r="B22" i="91"/>
  <c r="J21" i="156"/>
  <c r="E12" i="165"/>
  <c r="E12" i="166"/>
  <c r="E12" i="171"/>
  <c r="E8" i="169"/>
  <c r="E8" i="173"/>
  <c r="E8" i="172"/>
  <c r="M9" i="235"/>
  <c r="J9" i="164" s="1"/>
  <c r="R19" i="154"/>
  <c r="R19" i="159"/>
  <c r="W9" i="232"/>
  <c r="W8" i="232"/>
  <c r="Y8" i="232" s="1"/>
  <c r="W8" i="228"/>
  <c r="Y8" i="228" s="1"/>
  <c r="W8" i="159"/>
  <c r="Y8" i="159" s="1"/>
  <c r="C7" i="41"/>
  <c r="W8" i="156"/>
  <c r="Y8" i="156" s="1"/>
  <c r="U8" i="79"/>
  <c r="W8" i="154"/>
  <c r="C42" i="162"/>
  <c r="C42" i="91"/>
  <c r="C42" i="232"/>
  <c r="W22" i="232"/>
  <c r="Y22" i="232" s="1"/>
  <c r="W21" i="228"/>
  <c r="Y21" i="228" s="1"/>
  <c r="C20" i="41"/>
  <c r="U21" i="79"/>
  <c r="W21" i="154"/>
  <c r="Y21" i="154" s="1"/>
  <c r="W21" i="156"/>
  <c r="W21" i="159"/>
  <c r="B16" i="173"/>
  <c r="B16" i="172"/>
  <c r="B16" i="168"/>
  <c r="B16" i="165"/>
  <c r="B16" i="166"/>
  <c r="B16" i="167"/>
  <c r="B16" i="231"/>
  <c r="E16" i="164"/>
  <c r="B16" i="170"/>
  <c r="B16" i="171"/>
  <c r="B16" i="169"/>
  <c r="Y20" i="165"/>
  <c r="G20" i="33"/>
  <c r="I20" i="33" s="1"/>
  <c r="W11" i="79"/>
  <c r="Y11" i="236"/>
  <c r="R23" i="232"/>
  <c r="E13" i="168"/>
  <c r="E13" i="165"/>
  <c r="E13" i="173"/>
  <c r="K17" i="79"/>
  <c r="M17" i="236"/>
  <c r="E7" i="173"/>
  <c r="E7" i="165"/>
  <c r="E7" i="231"/>
  <c r="E10" i="170"/>
  <c r="E10" i="167"/>
  <c r="G27" i="228"/>
  <c r="C27" i="156"/>
  <c r="C27" i="228"/>
  <c r="G28" i="232"/>
  <c r="C28" i="232"/>
  <c r="K28" i="232"/>
  <c r="K27" i="228"/>
  <c r="K28" i="91"/>
  <c r="G27" i="159"/>
  <c r="K27" i="154"/>
  <c r="G28" i="200"/>
  <c r="K28" i="162"/>
  <c r="C28" i="200"/>
  <c r="G28" i="91"/>
  <c r="G28" i="162"/>
  <c r="C28" i="91"/>
  <c r="C28" i="162"/>
  <c r="G27" i="156"/>
  <c r="K28" i="200"/>
  <c r="K27" i="160"/>
  <c r="C27" i="159"/>
  <c r="G27" i="154"/>
  <c r="K27" i="156"/>
  <c r="G27" i="160"/>
  <c r="K27" i="159"/>
  <c r="C27" i="160"/>
  <c r="F25" i="228"/>
  <c r="B26" i="232"/>
  <c r="F26" i="232"/>
  <c r="B25" i="156"/>
  <c r="B25" i="228"/>
  <c r="J26" i="232"/>
  <c r="J25" i="228"/>
  <c r="B26" i="91"/>
  <c r="F25" i="156"/>
  <c r="J26" i="162"/>
  <c r="B26" i="162"/>
  <c r="F25" i="159"/>
  <c r="J25" i="154"/>
  <c r="F25" i="160"/>
  <c r="B26" i="200"/>
  <c r="J26" i="200"/>
  <c r="F26" i="200"/>
  <c r="B25" i="159"/>
  <c r="B25" i="160"/>
  <c r="J25" i="156"/>
  <c r="J25" i="159"/>
  <c r="F26" i="162"/>
  <c r="F26" i="91"/>
  <c r="J25" i="160"/>
  <c r="J26" i="91"/>
  <c r="F25" i="154"/>
  <c r="M25" i="79"/>
  <c r="W34" i="232"/>
  <c r="Y34" i="232" s="1"/>
  <c r="W33" i="228"/>
  <c r="Y33" i="228" s="1"/>
  <c r="W33" i="156"/>
  <c r="Y33" i="156" s="1"/>
  <c r="W33" i="159"/>
  <c r="Y33" i="159" s="1"/>
  <c r="W33" i="154"/>
  <c r="Y33" i="154" s="1"/>
  <c r="U33" i="79"/>
  <c r="C32" i="41"/>
  <c r="G8" i="33"/>
  <c r="I8" i="33" s="1"/>
  <c r="Y8" i="165"/>
  <c r="G14" i="231"/>
  <c r="I14" i="231" s="1"/>
  <c r="G14" i="166"/>
  <c r="I14" i="166" s="1"/>
  <c r="G14" i="170"/>
  <c r="I14" i="170" s="1"/>
  <c r="G14" i="169"/>
  <c r="I14" i="169" s="1"/>
  <c r="G14" i="171"/>
  <c r="I14" i="171" s="1"/>
  <c r="G14" i="165"/>
  <c r="I14" i="165" s="1"/>
  <c r="G14" i="168"/>
  <c r="G14" i="172"/>
  <c r="I14" i="172" s="1"/>
  <c r="G14" i="173"/>
  <c r="G14" i="167"/>
  <c r="W27" i="79"/>
  <c r="Y27" i="236"/>
  <c r="G14" i="33"/>
  <c r="I14" i="33" s="1"/>
  <c r="Y14" i="165"/>
  <c r="E16" i="91"/>
  <c r="W13" i="79"/>
  <c r="Y13" i="236"/>
  <c r="G7" i="33"/>
  <c r="Y7" i="165"/>
  <c r="W39" i="171"/>
  <c r="Y39" i="171" s="1"/>
  <c r="Y7" i="171"/>
  <c r="N41" i="162"/>
  <c r="N41" i="91"/>
  <c r="N41" i="232"/>
  <c r="E15" i="228"/>
  <c r="G8" i="164"/>
  <c r="I8" i="164" s="1"/>
  <c r="F8" i="231"/>
  <c r="F8" i="168"/>
  <c r="F8" i="171"/>
  <c r="F8" i="170"/>
  <c r="F8" i="169"/>
  <c r="F8" i="166"/>
  <c r="F8" i="173"/>
  <c r="F8" i="167"/>
  <c r="F8" i="172"/>
  <c r="F8" i="165"/>
  <c r="O22" i="232"/>
  <c r="O21" i="228"/>
  <c r="O22" i="91"/>
  <c r="O21" i="159"/>
  <c r="O21" i="160"/>
  <c r="O22" i="200"/>
  <c r="O21" i="154"/>
  <c r="Q21" i="154" s="1"/>
  <c r="O21" i="156"/>
  <c r="O22" i="162"/>
  <c r="N30" i="232"/>
  <c r="N29" i="228"/>
  <c r="N30" i="200"/>
  <c r="N30" i="162"/>
  <c r="N30" i="91"/>
  <c r="N29" i="154"/>
  <c r="N29" i="156"/>
  <c r="N29" i="160"/>
  <c r="N29" i="159"/>
  <c r="F23" i="228"/>
  <c r="B23" i="228"/>
  <c r="F24" i="232"/>
  <c r="B24" i="232"/>
  <c r="B23" i="156"/>
  <c r="J24" i="232"/>
  <c r="J23" i="228"/>
  <c r="J23" i="156"/>
  <c r="F24" i="200"/>
  <c r="F23" i="156"/>
  <c r="B24" i="162"/>
  <c r="J23" i="159"/>
  <c r="B24" i="200"/>
  <c r="J24" i="91"/>
  <c r="F24" i="91"/>
  <c r="B23" i="160"/>
  <c r="J24" i="200"/>
  <c r="J23" i="160"/>
  <c r="J23" i="154"/>
  <c r="F24" i="162"/>
  <c r="F23" i="154"/>
  <c r="B24" i="91"/>
  <c r="F23" i="160"/>
  <c r="B23" i="159"/>
  <c r="F23" i="159"/>
  <c r="J24" i="162"/>
  <c r="O28" i="79"/>
  <c r="Q28" i="236"/>
  <c r="B28" i="156"/>
  <c r="F28" i="228"/>
  <c r="F29" i="232"/>
  <c r="B28" i="228"/>
  <c r="B29" i="232"/>
  <c r="J29" i="232"/>
  <c r="J28" i="228"/>
  <c r="B28" i="160"/>
  <c r="J29" i="162"/>
  <c r="J28" i="154"/>
  <c r="J28" i="156"/>
  <c r="F29" i="162"/>
  <c r="F29" i="200"/>
  <c r="J29" i="200"/>
  <c r="F28" i="160"/>
  <c r="F28" i="156"/>
  <c r="J28" i="160"/>
  <c r="J28" i="159"/>
  <c r="J29" i="91"/>
  <c r="B28" i="159"/>
  <c r="B29" i="91"/>
  <c r="B29" i="200"/>
  <c r="F29" i="91"/>
  <c r="F28" i="159"/>
  <c r="B29" i="162"/>
  <c r="F28" i="154"/>
  <c r="K11" i="164"/>
  <c r="M11" i="164" s="1"/>
  <c r="J11" i="231"/>
  <c r="J11" i="173"/>
  <c r="J11" i="169"/>
  <c r="J11" i="171"/>
  <c r="J11" i="172"/>
  <c r="J11" i="170"/>
  <c r="J11" i="166"/>
  <c r="J11" i="168"/>
  <c r="J11" i="167"/>
  <c r="J11" i="165"/>
  <c r="O19" i="79"/>
  <c r="Q19" i="236"/>
  <c r="M15" i="228"/>
  <c r="W29" i="79"/>
  <c r="Y29" i="236"/>
  <c r="N43" i="162"/>
  <c r="N43" i="232"/>
  <c r="R14" i="159"/>
  <c r="E14" i="159"/>
  <c r="E14" i="228"/>
  <c r="K13" i="231"/>
  <c r="M13" i="231" s="1"/>
  <c r="K13" i="172"/>
  <c r="M13" i="172" s="1"/>
  <c r="K13" i="173"/>
  <c r="M13" i="173" s="1"/>
  <c r="K13" i="165"/>
  <c r="M13" i="165" s="1"/>
  <c r="K13" i="168"/>
  <c r="M13" i="168" s="1"/>
  <c r="K13" i="170"/>
  <c r="M13" i="170" s="1"/>
  <c r="K13" i="166"/>
  <c r="M13" i="166" s="1"/>
  <c r="K13" i="169"/>
  <c r="M13" i="169" s="1"/>
  <c r="K13" i="167"/>
  <c r="M13" i="167" s="1"/>
  <c r="K13" i="171"/>
  <c r="M13" i="171" s="1"/>
  <c r="C41" i="200"/>
  <c r="C40" i="228"/>
  <c r="E15" i="165"/>
  <c r="E15" i="173"/>
  <c r="G17" i="164"/>
  <c r="I17" i="164" s="1"/>
  <c r="F17" i="231"/>
  <c r="F17" i="169"/>
  <c r="F17" i="166"/>
  <c r="F17" i="165"/>
  <c r="F17" i="167"/>
  <c r="F17" i="170"/>
  <c r="F17" i="172"/>
  <c r="F17" i="171"/>
  <c r="F17" i="173"/>
  <c r="F17" i="168"/>
  <c r="W37" i="79"/>
  <c r="Y37" i="236"/>
  <c r="E9" i="173"/>
  <c r="E9" i="171"/>
  <c r="K10" i="79"/>
  <c r="M10" i="236"/>
  <c r="B27" i="156"/>
  <c r="F28" i="232"/>
  <c r="F27" i="228"/>
  <c r="B27" i="228"/>
  <c r="B28" i="232"/>
  <c r="J28" i="232"/>
  <c r="J27" i="228"/>
  <c r="F27" i="160"/>
  <c r="J27" i="159"/>
  <c r="B27" i="159"/>
  <c r="B27" i="160"/>
  <c r="F28" i="91"/>
  <c r="J28" i="91"/>
  <c r="J28" i="162"/>
  <c r="F27" i="154"/>
  <c r="J27" i="160"/>
  <c r="J27" i="156"/>
  <c r="F27" i="159"/>
  <c r="B28" i="162"/>
  <c r="J27" i="154"/>
  <c r="F28" i="200"/>
  <c r="F27" i="156"/>
  <c r="B28" i="200"/>
  <c r="B28" i="91"/>
  <c r="J28" i="200"/>
  <c r="F28" i="162"/>
  <c r="M27" i="79"/>
  <c r="E11" i="171"/>
  <c r="E11" i="167"/>
  <c r="G16" i="33"/>
  <c r="I16" i="33" s="1"/>
  <c r="Y16" i="165"/>
  <c r="Y22" i="165"/>
  <c r="G22" i="33"/>
  <c r="I22" i="33" s="1"/>
  <c r="W19" i="79"/>
  <c r="Y19" i="236"/>
  <c r="G11" i="33"/>
  <c r="I11" i="33" s="1"/>
  <c r="Y11" i="165"/>
  <c r="W10" i="232"/>
  <c r="Y10" i="232" s="1"/>
  <c r="W9" i="228"/>
  <c r="Y9" i="228" s="1"/>
  <c r="W9" i="154"/>
  <c r="Y9" i="154" s="1"/>
  <c r="C8" i="41"/>
  <c r="W9" i="156"/>
  <c r="Y9" i="156" s="1"/>
  <c r="W9" i="159"/>
  <c r="Y9" i="159" s="1"/>
  <c r="U9" i="79"/>
  <c r="W17" i="79"/>
  <c r="Y17" i="236"/>
  <c r="G23" i="33"/>
  <c r="I23" i="33" s="1"/>
  <c r="Y23" i="165"/>
  <c r="R17" i="91"/>
  <c r="E17" i="91"/>
  <c r="F7" i="232"/>
  <c r="F7" i="228"/>
  <c r="F7" i="160"/>
  <c r="F7" i="200"/>
  <c r="F7" i="162"/>
  <c r="F7" i="156"/>
  <c r="F7" i="91"/>
  <c r="F7" i="154"/>
  <c r="F7" i="159"/>
  <c r="F14" i="232"/>
  <c r="F13" i="228"/>
  <c r="F13" i="154"/>
  <c r="F14" i="91"/>
  <c r="F14" i="200"/>
  <c r="F13" i="159"/>
  <c r="F14" i="162"/>
  <c r="F13" i="160"/>
  <c r="F13" i="156"/>
  <c r="I13" i="79"/>
  <c r="O7" i="79"/>
  <c r="Q7" i="236"/>
  <c r="O22" i="164"/>
  <c r="N22" i="231"/>
  <c r="N22" i="169"/>
  <c r="N22" i="172"/>
  <c r="N22" i="170"/>
  <c r="N22" i="168"/>
  <c r="N22" i="167"/>
  <c r="N22" i="173"/>
  <c r="N22" i="171"/>
  <c r="N22" i="166"/>
  <c r="N22" i="165"/>
  <c r="W31" i="79"/>
  <c r="Y31" i="236"/>
  <c r="F25" i="232"/>
  <c r="B24" i="156"/>
  <c r="B25" i="232"/>
  <c r="F24" i="228"/>
  <c r="B24" i="228"/>
  <c r="J25" i="232"/>
  <c r="J24" i="228"/>
  <c r="J25" i="91"/>
  <c r="B25" i="200"/>
  <c r="J25" i="162"/>
  <c r="J24" i="160"/>
  <c r="F24" i="159"/>
  <c r="B25" i="162"/>
  <c r="F25" i="200"/>
  <c r="B24" i="159"/>
  <c r="F25" i="162"/>
  <c r="F24" i="154"/>
  <c r="F25" i="91"/>
  <c r="B25" i="91"/>
  <c r="J25" i="200"/>
  <c r="F24" i="160"/>
  <c r="F24" i="156"/>
  <c r="J24" i="156"/>
  <c r="B24" i="160"/>
  <c r="J24" i="154"/>
  <c r="J24" i="159"/>
  <c r="G9" i="232"/>
  <c r="G8" i="232"/>
  <c r="G8" i="228"/>
  <c r="G9" i="200"/>
  <c r="G8" i="91"/>
  <c r="G8" i="160"/>
  <c r="I8" i="160" s="1"/>
  <c r="G8" i="162"/>
  <c r="I8" i="162" s="1"/>
  <c r="G8" i="156"/>
  <c r="G9" i="91"/>
  <c r="G8" i="200"/>
  <c r="I8" i="200" s="1"/>
  <c r="G8" i="154"/>
  <c r="G8" i="159"/>
  <c r="G9" i="162"/>
  <c r="E12" i="172"/>
  <c r="E12" i="169"/>
  <c r="E8" i="168"/>
  <c r="E8" i="166"/>
  <c r="E8" i="231"/>
  <c r="K15" i="231"/>
  <c r="K15" i="168"/>
  <c r="M15" i="168" s="1"/>
  <c r="K15" i="165"/>
  <c r="M15" i="165" s="1"/>
  <c r="K15" i="173"/>
  <c r="M15" i="173" s="1"/>
  <c r="K15" i="170"/>
  <c r="M15" i="170" s="1"/>
  <c r="K15" i="167"/>
  <c r="M15" i="167" s="1"/>
  <c r="K15" i="172"/>
  <c r="M15" i="172" s="1"/>
  <c r="K15" i="171"/>
  <c r="M15" i="171" s="1"/>
  <c r="K15" i="166"/>
  <c r="M15" i="166" s="1"/>
  <c r="K15" i="169"/>
  <c r="M15" i="169" s="1"/>
  <c r="AA34" i="156" l="1"/>
  <c r="E27" i="156"/>
  <c r="AA35" i="232"/>
  <c r="R16" i="200"/>
  <c r="I13" i="156"/>
  <c r="R14" i="228"/>
  <c r="Q21" i="232"/>
  <c r="R15" i="228"/>
  <c r="Z15" i="228" s="1"/>
  <c r="W39" i="170"/>
  <c r="Y39" i="170" s="1"/>
  <c r="Y41" i="170" s="1"/>
  <c r="AA34" i="154"/>
  <c r="I27" i="156"/>
  <c r="M28" i="232"/>
  <c r="I25" i="228"/>
  <c r="W39" i="167"/>
  <c r="Y39" i="167" s="1"/>
  <c r="Y41" i="167" s="1"/>
  <c r="I8" i="91"/>
  <c r="I8" i="159"/>
  <c r="I26" i="232"/>
  <c r="Q22" i="200"/>
  <c r="R15" i="162"/>
  <c r="R14" i="154"/>
  <c r="Z14" i="154" s="1"/>
  <c r="I27" i="228"/>
  <c r="R16" i="162"/>
  <c r="W39" i="231"/>
  <c r="Y39" i="231" s="1"/>
  <c r="Y41" i="231" s="1"/>
  <c r="W39" i="168"/>
  <c r="Y39" i="168" s="1"/>
  <c r="Y41" i="168" s="1"/>
  <c r="Q22" i="162"/>
  <c r="M27" i="228"/>
  <c r="Q20" i="228"/>
  <c r="W39" i="166"/>
  <c r="Y39" i="166" s="1"/>
  <c r="Y41" i="166" s="1"/>
  <c r="M26" i="232"/>
  <c r="W39" i="165"/>
  <c r="Y39" i="165" s="1"/>
  <c r="Y41" i="165" s="1"/>
  <c r="J40" i="232"/>
  <c r="Q22" i="91"/>
  <c r="I25" i="156"/>
  <c r="J44" i="91"/>
  <c r="J40" i="91"/>
  <c r="W39" i="172"/>
  <c r="Y39" i="172" s="1"/>
  <c r="Y41" i="172" s="1"/>
  <c r="AA34" i="228"/>
  <c r="W39" i="173"/>
  <c r="Y39" i="173" s="1"/>
  <c r="Y41" i="173" s="1"/>
  <c r="B39" i="159"/>
  <c r="J39" i="154"/>
  <c r="J44" i="200"/>
  <c r="J39" i="228"/>
  <c r="B40" i="200"/>
  <c r="I28" i="232"/>
  <c r="I13" i="228"/>
  <c r="Y41" i="171"/>
  <c r="M25" i="228"/>
  <c r="J39" i="159"/>
  <c r="J40" i="162"/>
  <c r="J39" i="160"/>
  <c r="R16" i="91"/>
  <c r="W39" i="169"/>
  <c r="Y39" i="169" s="1"/>
  <c r="Y41" i="169" s="1"/>
  <c r="Z15" i="231"/>
  <c r="Z15" i="166"/>
  <c r="G11" i="164"/>
  <c r="I11" i="164" s="1"/>
  <c r="F11" i="231"/>
  <c r="F11" i="171"/>
  <c r="F11" i="167"/>
  <c r="F11" i="168"/>
  <c r="F11" i="170"/>
  <c r="F11" i="166"/>
  <c r="F11" i="172"/>
  <c r="F11" i="169"/>
  <c r="F11" i="173"/>
  <c r="F11" i="165"/>
  <c r="Z15" i="172"/>
  <c r="Z15" i="169"/>
  <c r="Z15" i="168"/>
  <c r="R25" i="91"/>
  <c r="I14" i="232"/>
  <c r="F44" i="232"/>
  <c r="F41" i="91"/>
  <c r="F40" i="91"/>
  <c r="R28" i="91"/>
  <c r="E28" i="91"/>
  <c r="R27" i="228"/>
  <c r="E27" i="228"/>
  <c r="Z14" i="228"/>
  <c r="R28" i="154"/>
  <c r="R29" i="200"/>
  <c r="R24" i="162"/>
  <c r="R29" i="159"/>
  <c r="R30" i="91"/>
  <c r="R30" i="232"/>
  <c r="I7" i="33"/>
  <c r="AA27" i="159"/>
  <c r="AC27" i="159" s="1"/>
  <c r="Y27" i="79"/>
  <c r="G26" i="41"/>
  <c r="I26" i="41" s="1"/>
  <c r="R25" i="228"/>
  <c r="E25" i="228"/>
  <c r="M27" i="156"/>
  <c r="M28" i="200"/>
  <c r="I28" i="162"/>
  <c r="I28" i="200"/>
  <c r="Z23" i="232"/>
  <c r="R16" i="171"/>
  <c r="E16" i="171"/>
  <c r="R16" i="167"/>
  <c r="E16" i="167"/>
  <c r="R16" i="172"/>
  <c r="E16" i="172"/>
  <c r="Z19" i="154"/>
  <c r="K9" i="164"/>
  <c r="M9" i="164" s="1"/>
  <c r="J9" i="231"/>
  <c r="J9" i="172"/>
  <c r="J9" i="171"/>
  <c r="J9" i="169"/>
  <c r="J9" i="165"/>
  <c r="J9" i="170"/>
  <c r="J9" i="168"/>
  <c r="J9" i="166"/>
  <c r="J9" i="173"/>
  <c r="J9" i="167"/>
  <c r="R22" i="91"/>
  <c r="J41" i="159"/>
  <c r="R22" i="162"/>
  <c r="F41" i="160"/>
  <c r="R11" i="162"/>
  <c r="E11" i="162"/>
  <c r="R10" i="228"/>
  <c r="E10" i="228"/>
  <c r="K17" i="232"/>
  <c r="M17" i="232" s="1"/>
  <c r="K16" i="228"/>
  <c r="M16" i="228" s="1"/>
  <c r="K16" i="156"/>
  <c r="M16" i="156" s="1"/>
  <c r="K16" i="159"/>
  <c r="M16" i="159" s="1"/>
  <c r="K17" i="200"/>
  <c r="M17" i="200" s="1"/>
  <c r="K17" i="162"/>
  <c r="M17" i="162" s="1"/>
  <c r="K16" i="154"/>
  <c r="M16" i="154" s="1"/>
  <c r="K17" i="91"/>
  <c r="M17" i="91" s="1"/>
  <c r="K16" i="160"/>
  <c r="M16" i="160" s="1"/>
  <c r="M16" i="79"/>
  <c r="E18" i="41"/>
  <c r="Y38" i="232"/>
  <c r="AA38" i="232"/>
  <c r="AC38" i="232" s="1"/>
  <c r="G13" i="231"/>
  <c r="G13" i="167"/>
  <c r="G13" i="172"/>
  <c r="G13" i="170"/>
  <c r="G13" i="173"/>
  <c r="G13" i="168"/>
  <c r="G13" i="166"/>
  <c r="G13" i="169"/>
  <c r="G13" i="165"/>
  <c r="G13" i="171"/>
  <c r="R20" i="160"/>
  <c r="R8" i="159"/>
  <c r="E8" i="159"/>
  <c r="R9" i="91"/>
  <c r="E9" i="91"/>
  <c r="R8" i="228"/>
  <c r="E8" i="228"/>
  <c r="G11" i="41"/>
  <c r="I11" i="41" s="1"/>
  <c r="Y12" i="79"/>
  <c r="AA12" i="159"/>
  <c r="AC12" i="159" s="1"/>
  <c r="E26" i="41"/>
  <c r="I14" i="168"/>
  <c r="G19" i="232"/>
  <c r="I19" i="232" s="1"/>
  <c r="C18" i="156"/>
  <c r="C19" i="232"/>
  <c r="C18" i="228"/>
  <c r="G18" i="228"/>
  <c r="I18" i="228" s="1"/>
  <c r="K19" i="232"/>
  <c r="M19" i="232" s="1"/>
  <c r="K18" i="228"/>
  <c r="M18" i="228" s="1"/>
  <c r="G19" i="91"/>
  <c r="I19" i="91" s="1"/>
  <c r="G19" i="200"/>
  <c r="I19" i="200" s="1"/>
  <c r="K18" i="154"/>
  <c r="M18" i="154" s="1"/>
  <c r="C18" i="154"/>
  <c r="G18" i="154"/>
  <c r="I18" i="154" s="1"/>
  <c r="C19" i="162"/>
  <c r="G18" i="160"/>
  <c r="I18" i="160" s="1"/>
  <c r="K18" i="159"/>
  <c r="M18" i="159" s="1"/>
  <c r="K18" i="160"/>
  <c r="M18" i="160" s="1"/>
  <c r="K18" i="156"/>
  <c r="M18" i="156" s="1"/>
  <c r="K19" i="91"/>
  <c r="M19" i="91" s="1"/>
  <c r="G18" i="156"/>
  <c r="I18" i="156" s="1"/>
  <c r="C19" i="200"/>
  <c r="C19" i="91"/>
  <c r="C18" i="159"/>
  <c r="G19" i="162"/>
  <c r="I19" i="162" s="1"/>
  <c r="G18" i="159"/>
  <c r="I18" i="159" s="1"/>
  <c r="K19" i="200"/>
  <c r="M19" i="200" s="1"/>
  <c r="K19" i="162"/>
  <c r="M19" i="162" s="1"/>
  <c r="C18" i="160"/>
  <c r="M18" i="79"/>
  <c r="Q30" i="79"/>
  <c r="N31" i="232"/>
  <c r="N30" i="228"/>
  <c r="N30" i="160"/>
  <c r="N31" i="91"/>
  <c r="N30" i="154"/>
  <c r="N31" i="162"/>
  <c r="N30" i="156"/>
  <c r="N31" i="200"/>
  <c r="N30" i="159"/>
  <c r="K12" i="79"/>
  <c r="M12" i="236"/>
  <c r="AA31" i="228"/>
  <c r="B44" i="200"/>
  <c r="R14" i="200"/>
  <c r="E14" i="200"/>
  <c r="R13" i="160"/>
  <c r="E13" i="160"/>
  <c r="AA10" i="159"/>
  <c r="AC10" i="159" s="1"/>
  <c r="G9" i="41"/>
  <c r="I9" i="41" s="1"/>
  <c r="Y10" i="79"/>
  <c r="Q21" i="156"/>
  <c r="Q21" i="160"/>
  <c r="Y36" i="159"/>
  <c r="Y37" i="232"/>
  <c r="AA37" i="232"/>
  <c r="AC37" i="232" s="1"/>
  <c r="J39" i="156"/>
  <c r="R11" i="160"/>
  <c r="E11" i="160"/>
  <c r="B43" i="91"/>
  <c r="E43" i="91" s="1"/>
  <c r="E49" i="91" s="1"/>
  <c r="R12" i="91"/>
  <c r="E12" i="91"/>
  <c r="F41" i="228"/>
  <c r="R15" i="159"/>
  <c r="R9" i="160"/>
  <c r="E9" i="160"/>
  <c r="E10" i="232"/>
  <c r="R10" i="232"/>
  <c r="J40" i="200"/>
  <c r="G22" i="41"/>
  <c r="I22" i="41" s="1"/>
  <c r="Y23" i="79"/>
  <c r="AA23" i="159"/>
  <c r="AC23" i="159" s="1"/>
  <c r="Z19" i="156"/>
  <c r="G10" i="164"/>
  <c r="I10" i="164" s="1"/>
  <c r="F10" i="231"/>
  <c r="F10" i="173"/>
  <c r="F10" i="168"/>
  <c r="F10" i="172"/>
  <c r="F10" i="169"/>
  <c r="F10" i="171"/>
  <c r="F10" i="167"/>
  <c r="F10" i="170"/>
  <c r="F10" i="166"/>
  <c r="F10" i="165"/>
  <c r="O29" i="164"/>
  <c r="Q29" i="164" s="1"/>
  <c r="N29" i="231"/>
  <c r="N29" i="172"/>
  <c r="N29" i="167"/>
  <c r="N29" i="173"/>
  <c r="N29" i="169"/>
  <c r="N29" i="168"/>
  <c r="N29" i="171"/>
  <c r="N29" i="170"/>
  <c r="N29" i="165"/>
  <c r="N29" i="166"/>
  <c r="O26" i="164"/>
  <c r="Q26" i="164" s="1"/>
  <c r="N26" i="231"/>
  <c r="N26" i="170"/>
  <c r="N26" i="165"/>
  <c r="N26" i="172"/>
  <c r="N26" i="166"/>
  <c r="N26" i="168"/>
  <c r="N26" i="167"/>
  <c r="N26" i="171"/>
  <c r="N26" i="169"/>
  <c r="N26" i="173"/>
  <c r="K21" i="79"/>
  <c r="M21" i="236"/>
  <c r="B24" i="231"/>
  <c r="F24" i="231"/>
  <c r="K24" i="164"/>
  <c r="M24" i="164" s="1"/>
  <c r="J24" i="231"/>
  <c r="F24" i="166"/>
  <c r="F24" i="165"/>
  <c r="B24" i="173"/>
  <c r="B24" i="167"/>
  <c r="J24" i="170"/>
  <c r="B24" i="172"/>
  <c r="B24" i="168"/>
  <c r="J24" i="173"/>
  <c r="B24" i="169"/>
  <c r="F24" i="170"/>
  <c r="J24" i="171"/>
  <c r="J24" i="172"/>
  <c r="F24" i="169"/>
  <c r="J24" i="168"/>
  <c r="B24" i="171"/>
  <c r="J24" i="165"/>
  <c r="J24" i="166"/>
  <c r="B24" i="166"/>
  <c r="J24" i="169"/>
  <c r="J24" i="167"/>
  <c r="F24" i="168"/>
  <c r="F24" i="167"/>
  <c r="B24" i="165"/>
  <c r="F24" i="173"/>
  <c r="F24" i="172"/>
  <c r="F24" i="171"/>
  <c r="B24" i="170"/>
  <c r="O12" i="164"/>
  <c r="Q12" i="164" s="1"/>
  <c r="N12" i="231"/>
  <c r="N12" i="170"/>
  <c r="N12" i="171"/>
  <c r="N12" i="167"/>
  <c r="N12" i="172"/>
  <c r="N12" i="168"/>
  <c r="N12" i="165"/>
  <c r="N12" i="166"/>
  <c r="N12" i="169"/>
  <c r="N12" i="173"/>
  <c r="F22" i="231"/>
  <c r="B22" i="231"/>
  <c r="K22" i="164"/>
  <c r="M22" i="164" s="1"/>
  <c r="J22" i="231"/>
  <c r="B22" i="165"/>
  <c r="B22" i="171"/>
  <c r="F22" i="171"/>
  <c r="J22" i="172"/>
  <c r="F22" i="167"/>
  <c r="F22" i="168"/>
  <c r="F22" i="166"/>
  <c r="B22" i="172"/>
  <c r="F22" i="170"/>
  <c r="B22" i="170"/>
  <c r="J22" i="171"/>
  <c r="J22" i="169"/>
  <c r="B22" i="167"/>
  <c r="B22" i="168"/>
  <c r="F22" i="172"/>
  <c r="J22" i="170"/>
  <c r="B22" i="166"/>
  <c r="B22" i="169"/>
  <c r="B22" i="173"/>
  <c r="J22" i="173"/>
  <c r="J22" i="166"/>
  <c r="F22" i="173"/>
  <c r="F22" i="169"/>
  <c r="J22" i="167"/>
  <c r="J22" i="168"/>
  <c r="F22" i="165"/>
  <c r="J22" i="165"/>
  <c r="E31" i="41"/>
  <c r="B41" i="200"/>
  <c r="E41" i="200" s="1"/>
  <c r="E47" i="200" s="1"/>
  <c r="R7" i="200"/>
  <c r="E7" i="200"/>
  <c r="B41" i="91"/>
  <c r="E41" i="91" s="1"/>
  <c r="E47" i="91" s="1"/>
  <c r="B40" i="91"/>
  <c r="R7" i="91"/>
  <c r="E7" i="91"/>
  <c r="E7" i="156"/>
  <c r="B40" i="156"/>
  <c r="B39" i="156"/>
  <c r="R7" i="156"/>
  <c r="AA35" i="154"/>
  <c r="AC35" i="154" s="1"/>
  <c r="Y35" i="154"/>
  <c r="Z16" i="154"/>
  <c r="I15" i="166"/>
  <c r="J44" i="162"/>
  <c r="E14" i="168"/>
  <c r="R14" i="168"/>
  <c r="E14" i="167"/>
  <c r="R14" i="167"/>
  <c r="I13" i="154"/>
  <c r="I13" i="160"/>
  <c r="G17" i="156"/>
  <c r="I17" i="156" s="1"/>
  <c r="G18" i="232"/>
  <c r="I18" i="232" s="1"/>
  <c r="G17" i="228"/>
  <c r="I17" i="228" s="1"/>
  <c r="G17" i="160"/>
  <c r="I17" i="160" s="1"/>
  <c r="G17" i="154"/>
  <c r="I17" i="154" s="1"/>
  <c r="G17" i="159"/>
  <c r="I17" i="159" s="1"/>
  <c r="G18" i="162"/>
  <c r="I18" i="162" s="1"/>
  <c r="G18" i="200"/>
  <c r="I18" i="200" s="1"/>
  <c r="G18" i="91"/>
  <c r="I18" i="91" s="1"/>
  <c r="I17" i="79"/>
  <c r="W40" i="159"/>
  <c r="Y7" i="159"/>
  <c r="W39" i="159"/>
  <c r="C21" i="82"/>
  <c r="W40" i="154"/>
  <c r="Y7" i="154"/>
  <c r="C35" i="82"/>
  <c r="W39" i="154"/>
  <c r="E29" i="41"/>
  <c r="O19" i="231"/>
  <c r="Q19" i="231" s="1"/>
  <c r="O19" i="171"/>
  <c r="Q19" i="171" s="1"/>
  <c r="O19" i="167"/>
  <c r="Q19" i="167" s="1"/>
  <c r="O19" i="169"/>
  <c r="Q19" i="169" s="1"/>
  <c r="O19" i="168"/>
  <c r="Q19" i="168" s="1"/>
  <c r="O19" i="166"/>
  <c r="Q19" i="166" s="1"/>
  <c r="O19" i="165"/>
  <c r="Q19" i="165" s="1"/>
  <c r="O19" i="173"/>
  <c r="Q19" i="173" s="1"/>
  <c r="O19" i="170"/>
  <c r="Q19" i="170" s="1"/>
  <c r="O19" i="172"/>
  <c r="Q19" i="172" s="1"/>
  <c r="Q20" i="159"/>
  <c r="Q21" i="91"/>
  <c r="J40" i="160"/>
  <c r="E25" i="41"/>
  <c r="I14" i="173"/>
  <c r="M25" i="159"/>
  <c r="M26" i="162"/>
  <c r="I25" i="159"/>
  <c r="O17" i="231"/>
  <c r="Q17" i="231" s="1"/>
  <c r="O17" i="168"/>
  <c r="Q17" i="168" s="1"/>
  <c r="O17" i="169"/>
  <c r="Q17" i="169" s="1"/>
  <c r="O17" i="170"/>
  <c r="Q17" i="170" s="1"/>
  <c r="O17" i="173"/>
  <c r="Q17" i="173" s="1"/>
  <c r="O17" i="172"/>
  <c r="Q17" i="172" s="1"/>
  <c r="O17" i="167"/>
  <c r="Q17" i="167" s="1"/>
  <c r="O17" i="165"/>
  <c r="Q17" i="165" s="1"/>
  <c r="O17" i="171"/>
  <c r="Q17" i="171" s="1"/>
  <c r="O17" i="166"/>
  <c r="Q17" i="166" s="1"/>
  <c r="R12" i="154"/>
  <c r="E12" i="154"/>
  <c r="E13" i="232"/>
  <c r="R13" i="232"/>
  <c r="R17" i="167"/>
  <c r="R17" i="166"/>
  <c r="C17" i="231"/>
  <c r="E17" i="231" s="1"/>
  <c r="K17" i="231"/>
  <c r="M17" i="231" s="1"/>
  <c r="C17" i="165"/>
  <c r="E17" i="165" s="1"/>
  <c r="K17" i="172"/>
  <c r="M17" i="172" s="1"/>
  <c r="C17" i="166"/>
  <c r="C17" i="167"/>
  <c r="K17" i="168"/>
  <c r="M17" i="168" s="1"/>
  <c r="K17" i="167"/>
  <c r="M17" i="167" s="1"/>
  <c r="C17" i="168"/>
  <c r="E17" i="168" s="1"/>
  <c r="K17" i="165"/>
  <c r="M17" i="165" s="1"/>
  <c r="K17" i="173"/>
  <c r="M17" i="173" s="1"/>
  <c r="K17" i="166"/>
  <c r="M17" i="166" s="1"/>
  <c r="K17" i="170"/>
  <c r="M17" i="170" s="1"/>
  <c r="K17" i="169"/>
  <c r="M17" i="169" s="1"/>
  <c r="C17" i="173"/>
  <c r="E17" i="173" s="1"/>
  <c r="C17" i="169"/>
  <c r="C17" i="172"/>
  <c r="E17" i="172" s="1"/>
  <c r="C17" i="170"/>
  <c r="E17" i="170" s="1"/>
  <c r="C17" i="171"/>
  <c r="E17" i="171" s="1"/>
  <c r="K17" i="171"/>
  <c r="M17" i="171" s="1"/>
  <c r="F42" i="162"/>
  <c r="I9" i="162"/>
  <c r="I8" i="232"/>
  <c r="Y8" i="79"/>
  <c r="AA8" i="159"/>
  <c r="AC8" i="159" s="1"/>
  <c r="G7" i="41"/>
  <c r="I7" i="41" s="1"/>
  <c r="Z19" i="228"/>
  <c r="O31" i="232"/>
  <c r="S31" i="232" s="1"/>
  <c r="AA31" i="232" s="1"/>
  <c r="O30" i="228"/>
  <c r="S30" i="228" s="1"/>
  <c r="AA30" i="228" s="1"/>
  <c r="O31" i="91"/>
  <c r="S31" i="91" s="1"/>
  <c r="O30" i="159"/>
  <c r="S30" i="159" s="1"/>
  <c r="O30" i="154"/>
  <c r="S30" i="154" s="1"/>
  <c r="AA30" i="154" s="1"/>
  <c r="O30" i="160"/>
  <c r="S30" i="160" s="1"/>
  <c r="O31" i="162"/>
  <c r="S31" i="162" s="1"/>
  <c r="O30" i="156"/>
  <c r="S30" i="156" s="1"/>
  <c r="AA30" i="156" s="1"/>
  <c r="O31" i="200"/>
  <c r="S31" i="200" s="1"/>
  <c r="K26" i="79"/>
  <c r="M26" i="236"/>
  <c r="O27" i="164"/>
  <c r="N27" i="231"/>
  <c r="R27" i="231" s="1"/>
  <c r="N27" i="167"/>
  <c r="R27" i="167" s="1"/>
  <c r="N27" i="170"/>
  <c r="N27" i="168"/>
  <c r="R27" i="168" s="1"/>
  <c r="N27" i="172"/>
  <c r="N27" i="166"/>
  <c r="R27" i="166" s="1"/>
  <c r="N27" i="169"/>
  <c r="R27" i="169" s="1"/>
  <c r="N27" i="173"/>
  <c r="N27" i="165"/>
  <c r="N27" i="171"/>
  <c r="R27" i="171" s="1"/>
  <c r="AA33" i="156"/>
  <c r="AA33" i="154"/>
  <c r="G9" i="164"/>
  <c r="I9" i="164" s="1"/>
  <c r="F9" i="231"/>
  <c r="F9" i="168"/>
  <c r="F9" i="166"/>
  <c r="F9" i="165"/>
  <c r="F9" i="172"/>
  <c r="R9" i="172" s="1"/>
  <c r="F9" i="171"/>
  <c r="F9" i="173"/>
  <c r="F9" i="169"/>
  <c r="F9" i="170"/>
  <c r="R9" i="170" s="1"/>
  <c r="F9" i="167"/>
  <c r="AA33" i="232"/>
  <c r="K20" i="79"/>
  <c r="M20" i="236"/>
  <c r="R27" i="170"/>
  <c r="C27" i="231"/>
  <c r="E27" i="231" s="1"/>
  <c r="G27" i="231"/>
  <c r="K27" i="231"/>
  <c r="M27" i="231" s="1"/>
  <c r="K27" i="173"/>
  <c r="M27" i="173" s="1"/>
  <c r="K27" i="172"/>
  <c r="M27" i="172" s="1"/>
  <c r="G27" i="166"/>
  <c r="I27" i="166" s="1"/>
  <c r="G27" i="173"/>
  <c r="I27" i="173" s="1"/>
  <c r="K27" i="166"/>
  <c r="M27" i="166" s="1"/>
  <c r="G27" i="172"/>
  <c r="I27" i="172" s="1"/>
  <c r="K27" i="169"/>
  <c r="M27" i="169" s="1"/>
  <c r="K27" i="171"/>
  <c r="M27" i="171" s="1"/>
  <c r="K27" i="167"/>
  <c r="M27" i="167" s="1"/>
  <c r="C27" i="172"/>
  <c r="G27" i="165"/>
  <c r="I27" i="165" s="1"/>
  <c r="C27" i="168"/>
  <c r="C27" i="167"/>
  <c r="G27" i="168"/>
  <c r="I27" i="168" s="1"/>
  <c r="K27" i="165"/>
  <c r="M27" i="165" s="1"/>
  <c r="C27" i="170"/>
  <c r="K27" i="170"/>
  <c r="M27" i="170" s="1"/>
  <c r="G27" i="171"/>
  <c r="I27" i="171" s="1"/>
  <c r="G27" i="169"/>
  <c r="I27" i="169" s="1"/>
  <c r="G27" i="170"/>
  <c r="I27" i="170" s="1"/>
  <c r="C27" i="171"/>
  <c r="C27" i="165"/>
  <c r="K27" i="168"/>
  <c r="M27" i="168" s="1"/>
  <c r="C27" i="173"/>
  <c r="C27" i="166"/>
  <c r="G27" i="167"/>
  <c r="I27" i="167" s="1"/>
  <c r="C27" i="169"/>
  <c r="J41" i="154"/>
  <c r="R24" i="159"/>
  <c r="R25" i="232"/>
  <c r="O22" i="231"/>
  <c r="O22" i="167"/>
  <c r="Q22" i="167" s="1"/>
  <c r="O22" i="170"/>
  <c r="Q22" i="170" s="1"/>
  <c r="O22" i="169"/>
  <c r="Q22" i="169" s="1"/>
  <c r="O22" i="168"/>
  <c r="Q22" i="168" s="1"/>
  <c r="O22" i="173"/>
  <c r="Q22" i="173" s="1"/>
  <c r="O22" i="172"/>
  <c r="Q22" i="172" s="1"/>
  <c r="O22" i="165"/>
  <c r="Q22" i="165" s="1"/>
  <c r="O22" i="166"/>
  <c r="Q22" i="166" s="1"/>
  <c r="O22" i="171"/>
  <c r="Q22" i="171" s="1"/>
  <c r="F44" i="200"/>
  <c r="I14" i="200"/>
  <c r="F39" i="160"/>
  <c r="F40" i="160"/>
  <c r="N31" i="79"/>
  <c r="Q31" i="236"/>
  <c r="R24" i="156"/>
  <c r="Q22" i="164"/>
  <c r="F44" i="91"/>
  <c r="I14" i="91"/>
  <c r="F40" i="156"/>
  <c r="F39" i="156"/>
  <c r="F40" i="228"/>
  <c r="F39" i="228"/>
  <c r="R24" i="154"/>
  <c r="R25" i="162"/>
  <c r="R25" i="200"/>
  <c r="R24" i="228"/>
  <c r="O7" i="232"/>
  <c r="O7" i="228"/>
  <c r="O7" i="91"/>
  <c r="O7" i="200"/>
  <c r="O7" i="162"/>
  <c r="O7" i="160"/>
  <c r="O7" i="156"/>
  <c r="O7" i="154"/>
  <c r="O7" i="159"/>
  <c r="Q7" i="79"/>
  <c r="F44" i="162"/>
  <c r="I14" i="162"/>
  <c r="F39" i="159"/>
  <c r="F40" i="159"/>
  <c r="F41" i="162"/>
  <c r="F40" i="162"/>
  <c r="F40" i="232"/>
  <c r="F41" i="232"/>
  <c r="AA17" i="159"/>
  <c r="AC17" i="159" s="1"/>
  <c r="G16" i="41"/>
  <c r="I16" i="41" s="1"/>
  <c r="Y17" i="79"/>
  <c r="G18" i="41"/>
  <c r="I18" i="41" s="1"/>
  <c r="AA19" i="159"/>
  <c r="AC19" i="159" s="1"/>
  <c r="Y19" i="79"/>
  <c r="R28" i="200"/>
  <c r="E28" i="200"/>
  <c r="R28" i="162"/>
  <c r="E28" i="162"/>
  <c r="R27" i="154"/>
  <c r="I27" i="154"/>
  <c r="R27" i="160"/>
  <c r="E27" i="160"/>
  <c r="K11" i="232"/>
  <c r="M11" i="232" s="1"/>
  <c r="K10" i="228"/>
  <c r="M10" i="228" s="1"/>
  <c r="K10" i="159"/>
  <c r="M10" i="159" s="1"/>
  <c r="K10" i="154"/>
  <c r="M10" i="154" s="1"/>
  <c r="K10" i="160"/>
  <c r="M10" i="160" s="1"/>
  <c r="K10" i="156"/>
  <c r="M10" i="156" s="1"/>
  <c r="K11" i="200"/>
  <c r="M11" i="200" s="1"/>
  <c r="K11" i="91"/>
  <c r="M11" i="91" s="1"/>
  <c r="K11" i="162"/>
  <c r="M11" i="162" s="1"/>
  <c r="M10" i="79"/>
  <c r="Z15" i="173"/>
  <c r="R27" i="156"/>
  <c r="R29" i="162"/>
  <c r="R29" i="91"/>
  <c r="R29" i="232"/>
  <c r="R24" i="91"/>
  <c r="R23" i="156"/>
  <c r="R23" i="228"/>
  <c r="R29" i="160"/>
  <c r="R30" i="162"/>
  <c r="G8" i="231"/>
  <c r="I8" i="231" s="1"/>
  <c r="G8" i="168"/>
  <c r="G8" i="165"/>
  <c r="G8" i="171"/>
  <c r="G8" i="169"/>
  <c r="G8" i="170"/>
  <c r="G8" i="172"/>
  <c r="G8" i="173"/>
  <c r="G8" i="167"/>
  <c r="G8" i="166"/>
  <c r="G12" i="41"/>
  <c r="I12" i="41" s="1"/>
  <c r="AA13" i="159"/>
  <c r="AC13" i="159" s="1"/>
  <c r="Y13" i="79"/>
  <c r="R26" i="91"/>
  <c r="E26" i="91"/>
  <c r="E25" i="156"/>
  <c r="R25" i="156"/>
  <c r="I28" i="91"/>
  <c r="M27" i="154"/>
  <c r="Y11" i="79"/>
  <c r="AA11" i="159"/>
  <c r="AC11" i="159" s="1"/>
  <c r="G10" i="41"/>
  <c r="I10" i="41" s="1"/>
  <c r="R16" i="170"/>
  <c r="E16" i="170"/>
  <c r="R16" i="166"/>
  <c r="E16" i="166"/>
  <c r="R16" i="173"/>
  <c r="E16" i="173"/>
  <c r="Y21" i="159"/>
  <c r="W41" i="159"/>
  <c r="E20" i="41"/>
  <c r="C40" i="41"/>
  <c r="AD19" i="159"/>
  <c r="M15" i="231"/>
  <c r="F41" i="159"/>
  <c r="R22" i="200"/>
  <c r="R21" i="154"/>
  <c r="R22" i="232"/>
  <c r="B42" i="91"/>
  <c r="E42" i="91" s="1"/>
  <c r="E48" i="91" s="1"/>
  <c r="R11" i="91"/>
  <c r="E11" i="91"/>
  <c r="E11" i="232"/>
  <c r="R11" i="232"/>
  <c r="E30" i="41"/>
  <c r="E16" i="41"/>
  <c r="G19" i="41"/>
  <c r="I19" i="41" s="1"/>
  <c r="AA20" i="159"/>
  <c r="AC20" i="159" s="1"/>
  <c r="Y20" i="79"/>
  <c r="Y36" i="79"/>
  <c r="AA36" i="159"/>
  <c r="AC36" i="159" s="1"/>
  <c r="G35" i="41"/>
  <c r="I35" i="41" s="1"/>
  <c r="AA37" i="154"/>
  <c r="AC37" i="154" s="1"/>
  <c r="Y37" i="154"/>
  <c r="I13" i="164"/>
  <c r="Z15" i="170"/>
  <c r="Z15" i="167"/>
  <c r="AA22" i="159"/>
  <c r="AC22" i="159" s="1"/>
  <c r="Y22" i="79"/>
  <c r="G21" i="41"/>
  <c r="I21" i="41" s="1"/>
  <c r="E28" i="41"/>
  <c r="R21" i="91"/>
  <c r="R21" i="162"/>
  <c r="R21" i="232"/>
  <c r="R8" i="160"/>
  <c r="E8" i="160"/>
  <c r="R8" i="162"/>
  <c r="E8" i="162"/>
  <c r="E8" i="232"/>
  <c r="R8" i="232"/>
  <c r="G17" i="41"/>
  <c r="I17" i="41" s="1"/>
  <c r="Y18" i="79"/>
  <c r="AA18" i="159"/>
  <c r="AC18" i="159" s="1"/>
  <c r="E12" i="41"/>
  <c r="R27" i="91"/>
  <c r="R26" i="160"/>
  <c r="E10" i="41"/>
  <c r="Y11" i="228"/>
  <c r="W41" i="228"/>
  <c r="AA14" i="159"/>
  <c r="AC14" i="159" s="1"/>
  <c r="Y14" i="79"/>
  <c r="G13" i="41"/>
  <c r="I13" i="41" s="1"/>
  <c r="Z20" i="232"/>
  <c r="K23" i="164"/>
  <c r="M23" i="164" s="1"/>
  <c r="F23" i="231"/>
  <c r="B23" i="231"/>
  <c r="J23" i="231"/>
  <c r="F23" i="166"/>
  <c r="F23" i="165"/>
  <c r="B23" i="165"/>
  <c r="J23" i="165"/>
  <c r="J23" i="170"/>
  <c r="J23" i="167"/>
  <c r="J23" i="168"/>
  <c r="B23" i="170"/>
  <c r="B23" i="171"/>
  <c r="F23" i="171"/>
  <c r="B23" i="166"/>
  <c r="J23" i="169"/>
  <c r="J23" i="166"/>
  <c r="B23" i="168"/>
  <c r="F23" i="173"/>
  <c r="F23" i="170"/>
  <c r="J23" i="172"/>
  <c r="J23" i="173"/>
  <c r="B23" i="167"/>
  <c r="B23" i="169"/>
  <c r="F23" i="169"/>
  <c r="F23" i="167"/>
  <c r="B23" i="172"/>
  <c r="F23" i="172"/>
  <c r="B23" i="173"/>
  <c r="J23" i="171"/>
  <c r="F23" i="168"/>
  <c r="AA31" i="156"/>
  <c r="AA32" i="232"/>
  <c r="Y35" i="79"/>
  <c r="G34" i="41"/>
  <c r="K34" i="41" s="1"/>
  <c r="AA35" i="159"/>
  <c r="AE35" i="159" s="1"/>
  <c r="G16" i="156"/>
  <c r="G17" i="232"/>
  <c r="G16" i="228"/>
  <c r="G16" i="160"/>
  <c r="G17" i="91"/>
  <c r="G17" i="162"/>
  <c r="G16" i="159"/>
  <c r="G17" i="200"/>
  <c r="G16" i="154"/>
  <c r="I16" i="79"/>
  <c r="B44" i="91"/>
  <c r="R14" i="91"/>
  <c r="E14" i="91"/>
  <c r="E13" i="228"/>
  <c r="R13" i="228"/>
  <c r="Z17" i="232"/>
  <c r="AA36" i="156"/>
  <c r="AC36" i="156" s="1"/>
  <c r="Y36" i="156"/>
  <c r="Y7" i="79"/>
  <c r="AA7" i="159"/>
  <c r="G6" i="41"/>
  <c r="E21" i="41"/>
  <c r="R14" i="160"/>
  <c r="O25" i="232"/>
  <c r="Q25" i="232" s="1"/>
  <c r="O24" i="228"/>
  <c r="Q24" i="228" s="1"/>
  <c r="O25" i="200"/>
  <c r="Q25" i="200" s="1"/>
  <c r="O25" i="91"/>
  <c r="Q25" i="91" s="1"/>
  <c r="O25" i="162"/>
  <c r="Q25" i="162" s="1"/>
  <c r="O24" i="159"/>
  <c r="Q24" i="159" s="1"/>
  <c r="O24" i="156"/>
  <c r="Q24" i="156" s="1"/>
  <c r="O24" i="154"/>
  <c r="Q24" i="154" s="1"/>
  <c r="O24" i="160"/>
  <c r="Q24" i="160" s="1"/>
  <c r="Q24" i="79"/>
  <c r="B43" i="162"/>
  <c r="E43" i="162" s="1"/>
  <c r="E49" i="162" s="1"/>
  <c r="R12" i="162"/>
  <c r="E12" i="162"/>
  <c r="E11" i="228"/>
  <c r="R11" i="228"/>
  <c r="B41" i="228"/>
  <c r="F43" i="200"/>
  <c r="F43" i="232"/>
  <c r="R15" i="160"/>
  <c r="Y24" i="79"/>
  <c r="G23" i="41"/>
  <c r="I23" i="41" s="1"/>
  <c r="AA24" i="159"/>
  <c r="AC24" i="159" s="1"/>
  <c r="R9" i="154"/>
  <c r="E9" i="154"/>
  <c r="R10" i="162"/>
  <c r="E10" i="162"/>
  <c r="E9" i="156"/>
  <c r="R9" i="156"/>
  <c r="Y34" i="79"/>
  <c r="AA34" i="159"/>
  <c r="AC34" i="159" s="1"/>
  <c r="G33" i="41"/>
  <c r="I33" i="41" s="1"/>
  <c r="C18" i="231"/>
  <c r="E18" i="231" s="1"/>
  <c r="G18" i="231"/>
  <c r="I18" i="231" s="1"/>
  <c r="K18" i="231"/>
  <c r="M18" i="231" s="1"/>
  <c r="K18" i="172"/>
  <c r="M18" i="172" s="1"/>
  <c r="C18" i="170"/>
  <c r="E18" i="170" s="1"/>
  <c r="G18" i="167"/>
  <c r="I18" i="167" s="1"/>
  <c r="G18" i="170"/>
  <c r="I18" i="170" s="1"/>
  <c r="K18" i="170"/>
  <c r="M18" i="170" s="1"/>
  <c r="C18" i="168"/>
  <c r="E18" i="168" s="1"/>
  <c r="C18" i="171"/>
  <c r="E18" i="171" s="1"/>
  <c r="C18" i="165"/>
  <c r="E18" i="165" s="1"/>
  <c r="C18" i="172"/>
  <c r="C18" i="169"/>
  <c r="E18" i="169" s="1"/>
  <c r="K18" i="165"/>
  <c r="M18" i="165" s="1"/>
  <c r="K18" i="167"/>
  <c r="M18" i="167" s="1"/>
  <c r="C18" i="166"/>
  <c r="G18" i="166"/>
  <c r="I18" i="166" s="1"/>
  <c r="G18" i="168"/>
  <c r="I18" i="168" s="1"/>
  <c r="G18" i="165"/>
  <c r="I18" i="165" s="1"/>
  <c r="K18" i="169"/>
  <c r="M18" i="169" s="1"/>
  <c r="G18" i="169"/>
  <c r="I18" i="169" s="1"/>
  <c r="G18" i="171"/>
  <c r="I18" i="171" s="1"/>
  <c r="K18" i="171"/>
  <c r="M18" i="171" s="1"/>
  <c r="G18" i="172"/>
  <c r="I18" i="172" s="1"/>
  <c r="K18" i="168"/>
  <c r="M18" i="168" s="1"/>
  <c r="K18" i="166"/>
  <c r="M18" i="166" s="1"/>
  <c r="C18" i="173"/>
  <c r="G18" i="173"/>
  <c r="I18" i="173" s="1"/>
  <c r="K18" i="173"/>
  <c r="M18" i="173" s="1"/>
  <c r="C18" i="167"/>
  <c r="E18" i="167" s="1"/>
  <c r="O29" i="79"/>
  <c r="Q29" i="236"/>
  <c r="G10" i="79"/>
  <c r="I10" i="236"/>
  <c r="O26" i="79"/>
  <c r="Q26" i="236"/>
  <c r="F21" i="231"/>
  <c r="B21" i="231"/>
  <c r="K21" i="164"/>
  <c r="M21" i="164" s="1"/>
  <c r="J21" i="231"/>
  <c r="B21" i="173"/>
  <c r="B21" i="166"/>
  <c r="F21" i="170"/>
  <c r="B21" i="167"/>
  <c r="J21" i="165"/>
  <c r="F21" i="169"/>
  <c r="B21" i="169"/>
  <c r="F21" i="173"/>
  <c r="F21" i="172"/>
  <c r="B21" i="172"/>
  <c r="J21" i="170"/>
  <c r="J21" i="172"/>
  <c r="J21" i="168"/>
  <c r="B21" i="165"/>
  <c r="J21" i="173"/>
  <c r="B21" i="168"/>
  <c r="F21" i="166"/>
  <c r="F21" i="165"/>
  <c r="J21" i="169"/>
  <c r="B21" i="171"/>
  <c r="F21" i="167"/>
  <c r="J21" i="167"/>
  <c r="F21" i="168"/>
  <c r="J21" i="166"/>
  <c r="F21" i="171"/>
  <c r="B21" i="170"/>
  <c r="J21" i="171"/>
  <c r="K24" i="79"/>
  <c r="M24" i="236"/>
  <c r="O12" i="79"/>
  <c r="Q12" i="236"/>
  <c r="K22" i="79"/>
  <c r="M22" i="236"/>
  <c r="B40" i="159"/>
  <c r="R7" i="159"/>
  <c r="E7" i="159"/>
  <c r="B40" i="154"/>
  <c r="E40" i="154" s="1"/>
  <c r="B39" i="154"/>
  <c r="R7" i="154"/>
  <c r="E7" i="154"/>
  <c r="E34" i="41"/>
  <c r="C41" i="41"/>
  <c r="E41" i="41" s="1"/>
  <c r="E46" i="41" s="1"/>
  <c r="W42" i="159"/>
  <c r="Y35" i="159"/>
  <c r="Z16" i="228"/>
  <c r="E9" i="41"/>
  <c r="E14" i="165"/>
  <c r="R14" i="165"/>
  <c r="E14" i="173"/>
  <c r="R14" i="173"/>
  <c r="E14" i="171"/>
  <c r="R14" i="171"/>
  <c r="I13" i="159"/>
  <c r="W40" i="156"/>
  <c r="Y7" i="156"/>
  <c r="F21" i="82"/>
  <c r="W39" i="156"/>
  <c r="E35" i="82"/>
  <c r="Y7" i="228"/>
  <c r="W40" i="228"/>
  <c r="Y40" i="228" s="1"/>
  <c r="Y44" i="228" s="1"/>
  <c r="W39" i="228"/>
  <c r="E27" i="41"/>
  <c r="R15" i="200"/>
  <c r="Q20" i="156"/>
  <c r="Q21" i="200"/>
  <c r="R16" i="232"/>
  <c r="M25" i="154"/>
  <c r="I25" i="160"/>
  <c r="M25" i="160"/>
  <c r="I26" i="200"/>
  <c r="E33" i="41"/>
  <c r="R13" i="162"/>
  <c r="E13" i="162"/>
  <c r="R13" i="200"/>
  <c r="E13" i="200"/>
  <c r="E12" i="156"/>
  <c r="R12" i="156"/>
  <c r="R17" i="172"/>
  <c r="R17" i="165"/>
  <c r="R17" i="173"/>
  <c r="R17" i="171"/>
  <c r="R17" i="231"/>
  <c r="F42" i="200"/>
  <c r="I9" i="200"/>
  <c r="I8" i="156"/>
  <c r="I8" i="154"/>
  <c r="I9" i="232"/>
  <c r="F42" i="232"/>
  <c r="E24" i="41"/>
  <c r="G12" i="79"/>
  <c r="I12" i="236"/>
  <c r="K19" i="164"/>
  <c r="M19" i="164" s="1"/>
  <c r="F19" i="231"/>
  <c r="B19" i="231"/>
  <c r="J19" i="231"/>
  <c r="B19" i="165"/>
  <c r="B19" i="170"/>
  <c r="B19" i="169"/>
  <c r="J19" i="171"/>
  <c r="B19" i="168"/>
  <c r="F19" i="167"/>
  <c r="F19" i="166"/>
  <c r="B19" i="173"/>
  <c r="J19" i="173"/>
  <c r="J19" i="168"/>
  <c r="F19" i="169"/>
  <c r="J19" i="169"/>
  <c r="F19" i="168"/>
  <c r="F19" i="170"/>
  <c r="F19" i="171"/>
  <c r="F19" i="172"/>
  <c r="J19" i="172"/>
  <c r="B19" i="166"/>
  <c r="B19" i="167"/>
  <c r="F19" i="165"/>
  <c r="J19" i="165"/>
  <c r="J19" i="166"/>
  <c r="J19" i="170"/>
  <c r="B19" i="171"/>
  <c r="B19" i="172"/>
  <c r="F19" i="173"/>
  <c r="J19" i="167"/>
  <c r="O8" i="164"/>
  <c r="Q8" i="164" s="1"/>
  <c r="N8" i="231"/>
  <c r="N8" i="170"/>
  <c r="N8" i="169"/>
  <c r="N8" i="167"/>
  <c r="N8" i="165"/>
  <c r="N8" i="168"/>
  <c r="N8" i="172"/>
  <c r="N8" i="166"/>
  <c r="N8" i="171"/>
  <c r="N8" i="173"/>
  <c r="K8" i="164"/>
  <c r="M8" i="164" s="1"/>
  <c r="J8" i="231"/>
  <c r="J8" i="165"/>
  <c r="R8" i="165" s="1"/>
  <c r="J8" i="168"/>
  <c r="J8" i="167"/>
  <c r="J8" i="166"/>
  <c r="J8" i="169"/>
  <c r="J8" i="172"/>
  <c r="J8" i="171"/>
  <c r="J8" i="170"/>
  <c r="J8" i="173"/>
  <c r="G9" i="79"/>
  <c r="I9" i="236"/>
  <c r="AA32" i="156"/>
  <c r="O10" i="164"/>
  <c r="Q10" i="164" s="1"/>
  <c r="N10" i="231"/>
  <c r="N10" i="169"/>
  <c r="N10" i="173"/>
  <c r="N10" i="170"/>
  <c r="N10" i="172"/>
  <c r="N10" i="165"/>
  <c r="N10" i="168"/>
  <c r="N10" i="171"/>
  <c r="N10" i="166"/>
  <c r="N10" i="167"/>
  <c r="O21" i="231"/>
  <c r="Q21" i="231" s="1"/>
  <c r="O21" i="171"/>
  <c r="Q21" i="171" s="1"/>
  <c r="O21" i="165"/>
  <c r="Q21" i="165" s="1"/>
  <c r="O21" i="168"/>
  <c r="Q21" i="168" s="1"/>
  <c r="O21" i="172"/>
  <c r="Q21" i="172" s="1"/>
  <c r="O21" i="170"/>
  <c r="Q21" i="170" s="1"/>
  <c r="O21" i="167"/>
  <c r="Q21" i="167" s="1"/>
  <c r="O21" i="173"/>
  <c r="Q21" i="173" s="1"/>
  <c r="O21" i="166"/>
  <c r="Q21" i="166" s="1"/>
  <c r="O21" i="169"/>
  <c r="Q21" i="169" s="1"/>
  <c r="R27" i="165"/>
  <c r="R25" i="168"/>
  <c r="R25" i="170"/>
  <c r="R25" i="172"/>
  <c r="G30" i="33"/>
  <c r="I30" i="33" s="1"/>
  <c r="Y30" i="165"/>
  <c r="J40" i="159"/>
  <c r="R24" i="160"/>
  <c r="Q22" i="231"/>
  <c r="F40" i="154"/>
  <c r="F39" i="154"/>
  <c r="F41" i="200"/>
  <c r="F40" i="200"/>
  <c r="E8" i="41"/>
  <c r="R27" i="159"/>
  <c r="E27" i="159"/>
  <c r="Z15" i="165"/>
  <c r="B15" i="33"/>
  <c r="O20" i="232"/>
  <c r="Q20" i="232" s="1"/>
  <c r="O19" i="228"/>
  <c r="Q19" i="228" s="1"/>
  <c r="O19" i="154"/>
  <c r="Q19" i="154" s="1"/>
  <c r="O20" i="162"/>
  <c r="Q20" i="162" s="1"/>
  <c r="O19" i="159"/>
  <c r="Q19" i="159" s="1"/>
  <c r="O20" i="200"/>
  <c r="Q20" i="200" s="1"/>
  <c r="O19" i="156"/>
  <c r="Q19" i="156" s="1"/>
  <c r="O19" i="160"/>
  <c r="Q19" i="160" s="1"/>
  <c r="O20" i="91"/>
  <c r="Q20" i="91" s="1"/>
  <c r="Q19" i="79"/>
  <c r="K11" i="231"/>
  <c r="M11" i="231" s="1"/>
  <c r="K11" i="165"/>
  <c r="M11" i="165" s="1"/>
  <c r="K11" i="167"/>
  <c r="M11" i="167" s="1"/>
  <c r="K11" i="166"/>
  <c r="M11" i="166" s="1"/>
  <c r="K11" i="173"/>
  <c r="M11" i="173" s="1"/>
  <c r="K11" i="170"/>
  <c r="M11" i="170" s="1"/>
  <c r="K11" i="169"/>
  <c r="M11" i="169" s="1"/>
  <c r="K11" i="171"/>
  <c r="M11" i="171" s="1"/>
  <c r="K11" i="172"/>
  <c r="M11" i="172" s="1"/>
  <c r="K11" i="168"/>
  <c r="M11" i="168" s="1"/>
  <c r="R28" i="159"/>
  <c r="R28" i="160"/>
  <c r="R28" i="228"/>
  <c r="R23" i="154"/>
  <c r="R24" i="200"/>
  <c r="R29" i="156"/>
  <c r="R30" i="200"/>
  <c r="R25" i="160"/>
  <c r="E25" i="160"/>
  <c r="R26" i="200"/>
  <c r="E26" i="200"/>
  <c r="R26" i="162"/>
  <c r="E26" i="162"/>
  <c r="M27" i="159"/>
  <c r="I27" i="159"/>
  <c r="R28" i="156"/>
  <c r="R16" i="165"/>
  <c r="E16" i="165"/>
  <c r="Y21" i="156"/>
  <c r="W41" i="156"/>
  <c r="E7" i="41"/>
  <c r="Y9" i="232"/>
  <c r="W42" i="232"/>
  <c r="F41" i="156"/>
  <c r="R21" i="228"/>
  <c r="R10" i="154"/>
  <c r="E10" i="154"/>
  <c r="B42" i="200"/>
  <c r="E42" i="200" s="1"/>
  <c r="E48" i="200" s="1"/>
  <c r="R11" i="200"/>
  <c r="E11" i="200"/>
  <c r="E10" i="156"/>
  <c r="R10" i="156"/>
  <c r="J41" i="228"/>
  <c r="M14" i="200"/>
  <c r="M14" i="91"/>
  <c r="M14" i="232"/>
  <c r="O26" i="232"/>
  <c r="Q26" i="232" s="1"/>
  <c r="O25" i="228"/>
  <c r="Q25" i="228" s="1"/>
  <c r="O25" i="160"/>
  <c r="Q25" i="160" s="1"/>
  <c r="O25" i="154"/>
  <c r="Q25" i="154" s="1"/>
  <c r="O25" i="159"/>
  <c r="Q25" i="159" s="1"/>
  <c r="O26" i="162"/>
  <c r="Q26" i="162" s="1"/>
  <c r="O26" i="91"/>
  <c r="Q26" i="91" s="1"/>
  <c r="O25" i="156"/>
  <c r="Q25" i="156" s="1"/>
  <c r="O26" i="200"/>
  <c r="Q26" i="200" s="1"/>
  <c r="Q25" i="79"/>
  <c r="E36" i="41"/>
  <c r="Y37" i="159"/>
  <c r="Z15" i="171"/>
  <c r="Y16" i="79"/>
  <c r="G15" i="41"/>
  <c r="I15" i="41" s="1"/>
  <c r="AA16" i="159"/>
  <c r="AC16" i="159" s="1"/>
  <c r="R20" i="154"/>
  <c r="R20" i="159"/>
  <c r="R20" i="156"/>
  <c r="R9" i="200"/>
  <c r="E9" i="200"/>
  <c r="R8" i="154"/>
  <c r="E8" i="154"/>
  <c r="E9" i="232"/>
  <c r="R9" i="232"/>
  <c r="B42" i="232"/>
  <c r="E42" i="232" s="1"/>
  <c r="E48" i="232" s="1"/>
  <c r="O10" i="232"/>
  <c r="Q10" i="232" s="1"/>
  <c r="O9" i="228"/>
  <c r="Q9" i="228" s="1"/>
  <c r="O9" i="160"/>
  <c r="Q9" i="160" s="1"/>
  <c r="O9" i="156"/>
  <c r="Q9" i="156" s="1"/>
  <c r="O10" i="200"/>
  <c r="Q10" i="200" s="1"/>
  <c r="O9" i="154"/>
  <c r="O10" i="91"/>
  <c r="Q10" i="91" s="1"/>
  <c r="O10" i="162"/>
  <c r="Q10" i="162" s="1"/>
  <c r="O9" i="159"/>
  <c r="Q9" i="159" s="1"/>
  <c r="Q9" i="79"/>
  <c r="R26" i="154"/>
  <c r="R27" i="200"/>
  <c r="R27" i="232"/>
  <c r="R26" i="156"/>
  <c r="Z22" i="228"/>
  <c r="Y11" i="154"/>
  <c r="W41" i="154"/>
  <c r="Y12" i="232"/>
  <c r="W43" i="232"/>
  <c r="K23" i="79"/>
  <c r="M23" i="236"/>
  <c r="AA31" i="154"/>
  <c r="R13" i="154"/>
  <c r="E13" i="154"/>
  <c r="E14" i="232"/>
  <c r="R14" i="232"/>
  <c r="B44" i="232"/>
  <c r="Q21" i="228"/>
  <c r="E35" i="41"/>
  <c r="Y28" i="79"/>
  <c r="G27" i="41"/>
  <c r="I27" i="41" s="1"/>
  <c r="AA28" i="159"/>
  <c r="AC28" i="159" s="1"/>
  <c r="R14" i="156"/>
  <c r="E15" i="41"/>
  <c r="B43" i="200"/>
  <c r="E43" i="200" s="1"/>
  <c r="E49" i="200" s="1"/>
  <c r="R12" i="200"/>
  <c r="E12" i="200"/>
  <c r="E12" i="232"/>
  <c r="R12" i="232"/>
  <c r="B43" i="232"/>
  <c r="E43" i="232" s="1"/>
  <c r="E49" i="232" s="1"/>
  <c r="F41" i="154"/>
  <c r="F43" i="162"/>
  <c r="R15" i="156"/>
  <c r="N40" i="160"/>
  <c r="AA26" i="159"/>
  <c r="AC26" i="159" s="1"/>
  <c r="G25" i="41"/>
  <c r="I25" i="41" s="1"/>
  <c r="Y26" i="79"/>
  <c r="R10" i="200"/>
  <c r="E10" i="200"/>
  <c r="R10" i="91"/>
  <c r="E10" i="91"/>
  <c r="M18" i="164"/>
  <c r="E13" i="41"/>
  <c r="B40" i="162"/>
  <c r="B28" i="231"/>
  <c r="K28" i="164"/>
  <c r="M28" i="164" s="1"/>
  <c r="F28" i="231"/>
  <c r="J28" i="231"/>
  <c r="J28" i="171"/>
  <c r="B28" i="171"/>
  <c r="J28" i="165"/>
  <c r="F28" i="172"/>
  <c r="F28" i="173"/>
  <c r="J28" i="167"/>
  <c r="F28" i="168"/>
  <c r="F28" i="171"/>
  <c r="B28" i="169"/>
  <c r="F28" i="170"/>
  <c r="B28" i="172"/>
  <c r="B28" i="170"/>
  <c r="F28" i="169"/>
  <c r="J28" i="166"/>
  <c r="J28" i="172"/>
  <c r="B28" i="173"/>
  <c r="B28" i="166"/>
  <c r="J28" i="168"/>
  <c r="B28" i="165"/>
  <c r="J28" i="169"/>
  <c r="B28" i="167"/>
  <c r="J28" i="173"/>
  <c r="F28" i="165"/>
  <c r="F28" i="167"/>
  <c r="J28" i="170"/>
  <c r="F28" i="166"/>
  <c r="B28" i="168"/>
  <c r="O13" i="164"/>
  <c r="Q13" i="164" s="1"/>
  <c r="N13" i="231"/>
  <c r="R13" i="231" s="1"/>
  <c r="N13" i="165"/>
  <c r="R13" i="165" s="1"/>
  <c r="N13" i="169"/>
  <c r="R13" i="169" s="1"/>
  <c r="N13" i="172"/>
  <c r="R13" i="172" s="1"/>
  <c r="N13" i="173"/>
  <c r="R13" i="173" s="1"/>
  <c r="N13" i="171"/>
  <c r="R13" i="171" s="1"/>
  <c r="N13" i="168"/>
  <c r="R13" i="168" s="1"/>
  <c r="N13" i="166"/>
  <c r="R13" i="166" s="1"/>
  <c r="N13" i="167"/>
  <c r="R13" i="167" s="1"/>
  <c r="N13" i="170"/>
  <c r="R13" i="170" s="1"/>
  <c r="O11" i="79"/>
  <c r="Q11" i="236"/>
  <c r="O18" i="164"/>
  <c r="Q18" i="164" s="1"/>
  <c r="N18" i="231"/>
  <c r="R18" i="231" s="1"/>
  <c r="N18" i="172"/>
  <c r="R18" i="172" s="1"/>
  <c r="N18" i="171"/>
  <c r="R18" i="171" s="1"/>
  <c r="N18" i="167"/>
  <c r="R18" i="167" s="1"/>
  <c r="N18" i="170"/>
  <c r="R18" i="170" s="1"/>
  <c r="N18" i="169"/>
  <c r="R18" i="169" s="1"/>
  <c r="N18" i="166"/>
  <c r="R18" i="166" s="1"/>
  <c r="N18" i="168"/>
  <c r="R18" i="168" s="1"/>
  <c r="N18" i="165"/>
  <c r="R18" i="165" s="1"/>
  <c r="N18" i="173"/>
  <c r="R18" i="173" s="1"/>
  <c r="K7" i="164"/>
  <c r="M7" i="164" s="1"/>
  <c r="J7" i="231"/>
  <c r="J7" i="167"/>
  <c r="J7" i="171"/>
  <c r="J7" i="170"/>
  <c r="J7" i="169"/>
  <c r="J7" i="168"/>
  <c r="J7" i="165"/>
  <c r="J7" i="173"/>
  <c r="J7" i="166"/>
  <c r="J7" i="172"/>
  <c r="O23" i="79"/>
  <c r="Q23" i="236"/>
  <c r="B40" i="160"/>
  <c r="B39" i="160"/>
  <c r="R7" i="160"/>
  <c r="E7" i="160"/>
  <c r="E7" i="228"/>
  <c r="B40" i="228"/>
  <c r="E40" i="228" s="1"/>
  <c r="E44" i="228" s="1"/>
  <c r="R7" i="228"/>
  <c r="B39" i="228"/>
  <c r="Y35" i="228"/>
  <c r="AA35" i="228"/>
  <c r="AC35" i="228" s="1"/>
  <c r="O23" i="232"/>
  <c r="Q23" i="232" s="1"/>
  <c r="O22" i="228"/>
  <c r="Q22" i="228" s="1"/>
  <c r="O23" i="91"/>
  <c r="Q23" i="91" s="1"/>
  <c r="O23" i="162"/>
  <c r="Q23" i="162" s="1"/>
  <c r="O22" i="156"/>
  <c r="Q22" i="156" s="1"/>
  <c r="O23" i="200"/>
  <c r="Q23" i="200" s="1"/>
  <c r="O22" i="154"/>
  <c r="Q22" i="154" s="1"/>
  <c r="O22" i="160"/>
  <c r="Q22" i="160" s="1"/>
  <c r="O22" i="159"/>
  <c r="Q22" i="159" s="1"/>
  <c r="Q22" i="79"/>
  <c r="O7" i="231"/>
  <c r="O7" i="169"/>
  <c r="Q7" i="169" s="1"/>
  <c r="O7" i="172"/>
  <c r="O7" i="173"/>
  <c r="O7" i="165"/>
  <c r="Q7" i="165" s="1"/>
  <c r="O7" i="168"/>
  <c r="Q7" i="168" s="1"/>
  <c r="O7" i="171"/>
  <c r="Q7" i="171" s="1"/>
  <c r="O7" i="167"/>
  <c r="Q7" i="167" s="1"/>
  <c r="O7" i="166"/>
  <c r="Q7" i="166" s="1"/>
  <c r="O7" i="170"/>
  <c r="Q7" i="170" s="1"/>
  <c r="AD16" i="159"/>
  <c r="R14" i="172"/>
  <c r="E14" i="172"/>
  <c r="R14" i="170"/>
  <c r="E14" i="170"/>
  <c r="E14" i="231"/>
  <c r="R14" i="231"/>
  <c r="C14" i="82"/>
  <c r="Y7" i="232"/>
  <c r="W41" i="232"/>
  <c r="W40" i="232"/>
  <c r="R15" i="232"/>
  <c r="K12" i="232"/>
  <c r="K11" i="228"/>
  <c r="K11" i="154"/>
  <c r="K11" i="156"/>
  <c r="M11" i="156" s="1"/>
  <c r="K11" i="159"/>
  <c r="M11" i="159" s="1"/>
  <c r="K12" i="91"/>
  <c r="K12" i="200"/>
  <c r="K12" i="162"/>
  <c r="K11" i="160"/>
  <c r="M11" i="160" s="1"/>
  <c r="M11" i="79"/>
  <c r="Q20" i="154"/>
  <c r="E23" i="41"/>
  <c r="G32" i="41"/>
  <c r="I32" i="41" s="1"/>
  <c r="AA33" i="159"/>
  <c r="AC33" i="159" s="1"/>
  <c r="Y33" i="79"/>
  <c r="M26" i="200"/>
  <c r="M26" i="91"/>
  <c r="R12" i="159"/>
  <c r="E12" i="159"/>
  <c r="R12" i="160"/>
  <c r="E12" i="160"/>
  <c r="R17" i="169"/>
  <c r="E17" i="169"/>
  <c r="R17" i="170"/>
  <c r="Y21" i="79"/>
  <c r="G20" i="41"/>
  <c r="K20" i="41" s="1"/>
  <c r="AA21" i="159"/>
  <c r="G12" i="164"/>
  <c r="F12" i="231"/>
  <c r="F12" i="165"/>
  <c r="F12" i="166"/>
  <c r="F12" i="171"/>
  <c r="F12" i="172"/>
  <c r="F12" i="167"/>
  <c r="F12" i="169"/>
  <c r="F12" i="170"/>
  <c r="F12" i="168"/>
  <c r="F12" i="173"/>
  <c r="K19" i="79"/>
  <c r="M19" i="236"/>
  <c r="O8" i="79"/>
  <c r="Q8" i="236"/>
  <c r="K8" i="79"/>
  <c r="M8" i="236"/>
  <c r="AA33" i="228"/>
  <c r="G7" i="164"/>
  <c r="F7" i="231"/>
  <c r="F7" i="168"/>
  <c r="F7" i="167"/>
  <c r="F7" i="170"/>
  <c r="F7" i="172"/>
  <c r="F7" i="165"/>
  <c r="F7" i="169"/>
  <c r="F7" i="173"/>
  <c r="F7" i="171"/>
  <c r="F7" i="166"/>
  <c r="O10" i="79"/>
  <c r="Q10" i="236"/>
  <c r="Q21" i="164"/>
  <c r="R27" i="173"/>
  <c r="O20" i="231"/>
  <c r="Q20" i="231" s="1"/>
  <c r="O20" i="170"/>
  <c r="Q20" i="170" s="1"/>
  <c r="O20" i="165"/>
  <c r="Q20" i="165" s="1"/>
  <c r="O20" i="169"/>
  <c r="Q20" i="169" s="1"/>
  <c r="O20" i="166"/>
  <c r="Q20" i="166" s="1"/>
  <c r="O20" i="171"/>
  <c r="Q20" i="171" s="1"/>
  <c r="O20" i="173"/>
  <c r="Q20" i="173" s="1"/>
  <c r="O20" i="168"/>
  <c r="Q20" i="168" s="1"/>
  <c r="O20" i="172"/>
  <c r="Q20" i="172" s="1"/>
  <c r="O20" i="167"/>
  <c r="Q20" i="167" s="1"/>
  <c r="R25" i="169"/>
  <c r="R25" i="165"/>
  <c r="R25" i="171"/>
  <c r="R25" i="173"/>
  <c r="G25" i="231"/>
  <c r="I25" i="231" s="1"/>
  <c r="C25" i="231"/>
  <c r="E25" i="231" s="1"/>
  <c r="K25" i="231"/>
  <c r="M25" i="231" s="1"/>
  <c r="C25" i="169"/>
  <c r="K25" i="166"/>
  <c r="M25" i="166" s="1"/>
  <c r="C25" i="170"/>
  <c r="E25" i="170" s="1"/>
  <c r="K25" i="173"/>
  <c r="M25" i="173" s="1"/>
  <c r="G25" i="173"/>
  <c r="I25" i="173" s="1"/>
  <c r="G25" i="172"/>
  <c r="I25" i="172" s="1"/>
  <c r="G25" i="167"/>
  <c r="I25" i="167" s="1"/>
  <c r="K25" i="172"/>
  <c r="M25" i="172" s="1"/>
  <c r="K25" i="167"/>
  <c r="M25" i="167" s="1"/>
  <c r="K25" i="170"/>
  <c r="M25" i="170" s="1"/>
  <c r="K25" i="165"/>
  <c r="M25" i="165" s="1"/>
  <c r="K25" i="168"/>
  <c r="M25" i="168" s="1"/>
  <c r="K25" i="169"/>
  <c r="M25" i="169" s="1"/>
  <c r="G25" i="166"/>
  <c r="I25" i="166" s="1"/>
  <c r="G25" i="170"/>
  <c r="I25" i="170" s="1"/>
  <c r="C25" i="173"/>
  <c r="E25" i="173" s="1"/>
  <c r="C25" i="168"/>
  <c r="E25" i="168" s="1"/>
  <c r="C25" i="165"/>
  <c r="E25" i="165" s="1"/>
  <c r="C25" i="171"/>
  <c r="C25" i="172"/>
  <c r="E25" i="172" s="1"/>
  <c r="K25" i="171"/>
  <c r="M25" i="171" s="1"/>
  <c r="G25" i="168"/>
  <c r="I25" i="168" s="1"/>
  <c r="G25" i="169"/>
  <c r="I25" i="169" s="1"/>
  <c r="C25" i="166"/>
  <c r="E25" i="166" s="1"/>
  <c r="G25" i="165"/>
  <c r="I25" i="165" s="1"/>
  <c r="G25" i="171"/>
  <c r="I25" i="171" s="1"/>
  <c r="C25" i="167"/>
  <c r="E25" i="167" s="1"/>
  <c r="Y29" i="165"/>
  <c r="G29" i="33"/>
  <c r="I29" i="33" s="1"/>
  <c r="J44" i="232"/>
  <c r="AA31" i="159"/>
  <c r="AC31" i="159" s="1"/>
  <c r="Y31" i="79"/>
  <c r="G30" i="41"/>
  <c r="I30" i="41" s="1"/>
  <c r="E28" i="232"/>
  <c r="R28" i="232"/>
  <c r="AA37" i="159"/>
  <c r="AC37" i="159" s="1"/>
  <c r="Y37" i="79"/>
  <c r="G36" i="41"/>
  <c r="I36" i="41" s="1"/>
  <c r="G17" i="231"/>
  <c r="I17" i="231" s="1"/>
  <c r="G17" i="166"/>
  <c r="I17" i="166" s="1"/>
  <c r="G17" i="168"/>
  <c r="I17" i="168" s="1"/>
  <c r="G17" i="170"/>
  <c r="I17" i="170" s="1"/>
  <c r="G17" i="173"/>
  <c r="I17" i="173" s="1"/>
  <c r="G17" i="171"/>
  <c r="I17" i="171" s="1"/>
  <c r="G17" i="172"/>
  <c r="I17" i="172" s="1"/>
  <c r="G17" i="165"/>
  <c r="I17" i="165" s="1"/>
  <c r="G17" i="167"/>
  <c r="I17" i="167" s="1"/>
  <c r="G17" i="169"/>
  <c r="I17" i="169" s="1"/>
  <c r="AD14" i="159"/>
  <c r="AA29" i="159"/>
  <c r="AC29" i="159" s="1"/>
  <c r="Y29" i="79"/>
  <c r="G28" i="41"/>
  <c r="I28" i="41" s="1"/>
  <c r="O29" i="232"/>
  <c r="Q29" i="232" s="1"/>
  <c r="O28" i="228"/>
  <c r="Q28" i="228" s="1"/>
  <c r="O28" i="156"/>
  <c r="O28" i="160"/>
  <c r="Q28" i="160" s="1"/>
  <c r="O28" i="159"/>
  <c r="Q28" i="159" s="1"/>
  <c r="O29" i="200"/>
  <c r="Q29" i="200" s="1"/>
  <c r="O29" i="162"/>
  <c r="Q29" i="162" s="1"/>
  <c r="O29" i="91"/>
  <c r="Q29" i="91" s="1"/>
  <c r="O28" i="154"/>
  <c r="Q28" i="154" s="1"/>
  <c r="Q28" i="79"/>
  <c r="R23" i="159"/>
  <c r="R23" i="160"/>
  <c r="R24" i="232"/>
  <c r="R29" i="154"/>
  <c r="R29" i="228"/>
  <c r="E32" i="41"/>
  <c r="R25" i="154"/>
  <c r="I25" i="154"/>
  <c r="R25" i="159"/>
  <c r="E25" i="159"/>
  <c r="E26" i="232"/>
  <c r="R26" i="232"/>
  <c r="I27" i="160"/>
  <c r="M27" i="160"/>
  <c r="M28" i="162"/>
  <c r="M28" i="91"/>
  <c r="C17" i="228"/>
  <c r="C18" i="232"/>
  <c r="C17" i="156"/>
  <c r="K18" i="232"/>
  <c r="M18" i="232" s="1"/>
  <c r="K17" i="228"/>
  <c r="M17" i="228" s="1"/>
  <c r="K17" i="156"/>
  <c r="M17" i="156" s="1"/>
  <c r="K17" i="159"/>
  <c r="M17" i="159" s="1"/>
  <c r="K18" i="91"/>
  <c r="M18" i="91" s="1"/>
  <c r="K18" i="162"/>
  <c r="M18" i="162" s="1"/>
  <c r="C18" i="162"/>
  <c r="C18" i="200"/>
  <c r="C18" i="91"/>
  <c r="C17" i="154"/>
  <c r="C17" i="159"/>
  <c r="K17" i="154"/>
  <c r="M17" i="154" s="1"/>
  <c r="C17" i="160"/>
  <c r="K18" i="200"/>
  <c r="M18" i="200" s="1"/>
  <c r="K17" i="160"/>
  <c r="M17" i="160" s="1"/>
  <c r="M17" i="79"/>
  <c r="R16" i="169"/>
  <c r="E16" i="169"/>
  <c r="R16" i="231"/>
  <c r="E16" i="231"/>
  <c r="R16" i="168"/>
  <c r="E16" i="168"/>
  <c r="Y8" i="154"/>
  <c r="K9" i="79"/>
  <c r="M9" i="236"/>
  <c r="J41" i="156"/>
  <c r="B41" i="160"/>
  <c r="R21" i="160"/>
  <c r="R21" i="159"/>
  <c r="B41" i="159"/>
  <c r="J41" i="160"/>
  <c r="B41" i="156"/>
  <c r="R21" i="156"/>
  <c r="R10" i="159"/>
  <c r="E10" i="159"/>
  <c r="R10" i="160"/>
  <c r="E10" i="160"/>
  <c r="G16" i="231"/>
  <c r="I16" i="231" s="1"/>
  <c r="G16" i="167"/>
  <c r="G16" i="172"/>
  <c r="G16" i="169"/>
  <c r="G16" i="165"/>
  <c r="G16" i="166"/>
  <c r="G16" i="170"/>
  <c r="G16" i="173"/>
  <c r="G16" i="168"/>
  <c r="G16" i="171"/>
  <c r="M14" i="162"/>
  <c r="Z17" i="228"/>
  <c r="K10" i="231"/>
  <c r="M10" i="231" s="1"/>
  <c r="K10" i="173"/>
  <c r="M10" i="173" s="1"/>
  <c r="K10" i="169"/>
  <c r="M10" i="169" s="1"/>
  <c r="K10" i="165"/>
  <c r="M10" i="165" s="1"/>
  <c r="K10" i="168"/>
  <c r="M10" i="168" s="1"/>
  <c r="K10" i="170"/>
  <c r="M10" i="170" s="1"/>
  <c r="K10" i="167"/>
  <c r="M10" i="167" s="1"/>
  <c r="K10" i="171"/>
  <c r="M10" i="171" s="1"/>
  <c r="K10" i="172"/>
  <c r="M10" i="172" s="1"/>
  <c r="K10" i="166"/>
  <c r="M10" i="166" s="1"/>
  <c r="AA37" i="156"/>
  <c r="AC37" i="156" s="1"/>
  <c r="Y37" i="156"/>
  <c r="Y37" i="228"/>
  <c r="AA37" i="228"/>
  <c r="AC37" i="228" s="1"/>
  <c r="I13" i="231"/>
  <c r="K15" i="232"/>
  <c r="K14" i="228"/>
  <c r="K14" i="156"/>
  <c r="K15" i="200"/>
  <c r="K15" i="91"/>
  <c r="K14" i="154"/>
  <c r="K14" i="160"/>
  <c r="K14" i="159"/>
  <c r="K15" i="162"/>
  <c r="M14" i="79"/>
  <c r="R21" i="200"/>
  <c r="R20" i="228"/>
  <c r="B42" i="162"/>
  <c r="E42" i="162" s="1"/>
  <c r="E48" i="162" s="1"/>
  <c r="R9" i="162"/>
  <c r="E9" i="162"/>
  <c r="R8" i="200"/>
  <c r="E8" i="200"/>
  <c r="R8" i="91"/>
  <c r="E8" i="91"/>
  <c r="E8" i="156"/>
  <c r="R8" i="156"/>
  <c r="O28" i="231"/>
  <c r="Q28" i="231" s="1"/>
  <c r="O28" i="168"/>
  <c r="Q28" i="168" s="1"/>
  <c r="O28" i="165"/>
  <c r="Q28" i="165" s="1"/>
  <c r="O28" i="172"/>
  <c r="Q28" i="172" s="1"/>
  <c r="O28" i="171"/>
  <c r="Q28" i="171" s="1"/>
  <c r="O28" i="173"/>
  <c r="Q28" i="173" s="1"/>
  <c r="O28" i="170"/>
  <c r="Q28" i="170" s="1"/>
  <c r="O28" i="166"/>
  <c r="Q28" i="166" s="1"/>
  <c r="O28" i="167"/>
  <c r="Q28" i="167" s="1"/>
  <c r="O28" i="169"/>
  <c r="Q28" i="169" s="1"/>
  <c r="O15" i="231"/>
  <c r="S15" i="231" s="1"/>
  <c r="O15" i="166"/>
  <c r="Q15" i="166" s="1"/>
  <c r="O15" i="169"/>
  <c r="Q15" i="169" s="1"/>
  <c r="O15" i="170"/>
  <c r="Q15" i="170" s="1"/>
  <c r="O15" i="173"/>
  <c r="Q15" i="173" s="1"/>
  <c r="O15" i="172"/>
  <c r="Q15" i="172" s="1"/>
  <c r="O15" i="167"/>
  <c r="Q15" i="167" s="1"/>
  <c r="O15" i="168"/>
  <c r="Q15" i="168" s="1"/>
  <c r="O15" i="171"/>
  <c r="Q15" i="171" s="1"/>
  <c r="O15" i="165"/>
  <c r="Q15" i="165" s="1"/>
  <c r="Y14" i="232"/>
  <c r="W44" i="232"/>
  <c r="I14" i="167"/>
  <c r="R27" i="162"/>
  <c r="R26" i="159"/>
  <c r="R26" i="228"/>
  <c r="K12" i="164"/>
  <c r="M12" i="164" s="1"/>
  <c r="J12" i="231"/>
  <c r="J12" i="172"/>
  <c r="J12" i="166"/>
  <c r="J12" i="165"/>
  <c r="J12" i="170"/>
  <c r="J12" i="171"/>
  <c r="J12" i="173"/>
  <c r="J12" i="167"/>
  <c r="J12" i="169"/>
  <c r="J12" i="168"/>
  <c r="AA32" i="159"/>
  <c r="AC32" i="159" s="1"/>
  <c r="G31" i="41"/>
  <c r="I31" i="41" s="1"/>
  <c r="Y32" i="79"/>
  <c r="K16" i="231"/>
  <c r="M16" i="231" s="1"/>
  <c r="K16" i="171"/>
  <c r="M16" i="171" s="1"/>
  <c r="K16" i="165"/>
  <c r="M16" i="165" s="1"/>
  <c r="K16" i="170"/>
  <c r="M16" i="170" s="1"/>
  <c r="K16" i="169"/>
  <c r="M16" i="169" s="1"/>
  <c r="K16" i="168"/>
  <c r="M16" i="168" s="1"/>
  <c r="K16" i="167"/>
  <c r="M16" i="167" s="1"/>
  <c r="K16" i="166"/>
  <c r="M16" i="166" s="1"/>
  <c r="K16" i="172"/>
  <c r="M16" i="172" s="1"/>
  <c r="K16" i="173"/>
  <c r="M16" i="173" s="1"/>
  <c r="R13" i="159"/>
  <c r="E13" i="159"/>
  <c r="B44" i="162"/>
  <c r="R14" i="162"/>
  <c r="E14" i="162"/>
  <c r="E13" i="156"/>
  <c r="R13" i="156"/>
  <c r="E19" i="41"/>
  <c r="O25" i="231"/>
  <c r="Q25" i="231" s="1"/>
  <c r="O25" i="170"/>
  <c r="Q25" i="170" s="1"/>
  <c r="O25" i="172"/>
  <c r="Q25" i="172" s="1"/>
  <c r="O25" i="168"/>
  <c r="Q25" i="168" s="1"/>
  <c r="O25" i="169"/>
  <c r="Q25" i="169" s="1"/>
  <c r="O25" i="167"/>
  <c r="Q25" i="167" s="1"/>
  <c r="O25" i="166"/>
  <c r="Q25" i="166" s="1"/>
  <c r="O25" i="173"/>
  <c r="Q25" i="173" s="1"/>
  <c r="O25" i="165"/>
  <c r="Q25" i="165" s="1"/>
  <c r="O25" i="171"/>
  <c r="Q25" i="171" s="1"/>
  <c r="Q21" i="159"/>
  <c r="Q22" i="232"/>
  <c r="AA36" i="154"/>
  <c r="AC36" i="154" s="1"/>
  <c r="Y36" i="154"/>
  <c r="Y36" i="228"/>
  <c r="AA36" i="228"/>
  <c r="AC36" i="228" s="1"/>
  <c r="K14" i="231"/>
  <c r="S14" i="231" s="1"/>
  <c r="AA14" i="231" s="1"/>
  <c r="K14" i="166"/>
  <c r="K14" i="173"/>
  <c r="M14" i="173" s="1"/>
  <c r="K14" i="165"/>
  <c r="M14" i="165" s="1"/>
  <c r="K14" i="167"/>
  <c r="M14" i="167" s="1"/>
  <c r="K14" i="172"/>
  <c r="M14" i="172" s="1"/>
  <c r="K14" i="168"/>
  <c r="M14" i="168" s="1"/>
  <c r="K14" i="171"/>
  <c r="M14" i="171" s="1"/>
  <c r="K14" i="169"/>
  <c r="K14" i="170"/>
  <c r="M14" i="170" s="1"/>
  <c r="R15" i="91"/>
  <c r="Y30" i="79"/>
  <c r="G29" i="41"/>
  <c r="I29" i="41" s="1"/>
  <c r="AA30" i="159"/>
  <c r="AC30" i="159" s="1"/>
  <c r="B41" i="154"/>
  <c r="R11" i="154"/>
  <c r="E11" i="154"/>
  <c r="R11" i="159"/>
  <c r="E11" i="159"/>
  <c r="E11" i="156"/>
  <c r="R11" i="156"/>
  <c r="O17" i="232"/>
  <c r="Q17" i="232" s="1"/>
  <c r="O16" i="228"/>
  <c r="Q16" i="228" s="1"/>
  <c r="O16" i="160"/>
  <c r="Q16" i="160" s="1"/>
  <c r="O17" i="91"/>
  <c r="Q17" i="91" s="1"/>
  <c r="O16" i="154"/>
  <c r="Q16" i="154" s="1"/>
  <c r="O17" i="162"/>
  <c r="Q17" i="162" s="1"/>
  <c r="O16" i="159"/>
  <c r="Q16" i="159" s="1"/>
  <c r="O16" i="156"/>
  <c r="Q16" i="156" s="1"/>
  <c r="O17" i="200"/>
  <c r="Q17" i="200" s="1"/>
  <c r="Q16" i="79"/>
  <c r="F43" i="91"/>
  <c r="O16" i="232"/>
  <c r="O15" i="228"/>
  <c r="O16" i="162"/>
  <c r="O15" i="160"/>
  <c r="O15" i="159"/>
  <c r="O15" i="154"/>
  <c r="O15" i="156"/>
  <c r="O16" i="91"/>
  <c r="O16" i="200"/>
  <c r="Q15" i="79"/>
  <c r="E11" i="41"/>
  <c r="AA15" i="159"/>
  <c r="AC15" i="159" s="1"/>
  <c r="Y15" i="79"/>
  <c r="G14" i="41"/>
  <c r="I14" i="41" s="1"/>
  <c r="O9" i="231"/>
  <c r="Q9" i="231" s="1"/>
  <c r="O9" i="166"/>
  <c r="Q9" i="166" s="1"/>
  <c r="O9" i="172"/>
  <c r="Q9" i="172" s="1"/>
  <c r="O9" i="167"/>
  <c r="Q9" i="167" s="1"/>
  <c r="O9" i="170"/>
  <c r="Q9" i="170" s="1"/>
  <c r="O9" i="173"/>
  <c r="Q9" i="173" s="1"/>
  <c r="O9" i="171"/>
  <c r="Q9" i="171" s="1"/>
  <c r="O9" i="165"/>
  <c r="Q9" i="165" s="1"/>
  <c r="O9" i="169"/>
  <c r="Q9" i="169" s="1"/>
  <c r="O9" i="168"/>
  <c r="Q9" i="168" s="1"/>
  <c r="R9" i="159"/>
  <c r="E9" i="159"/>
  <c r="R9" i="228"/>
  <c r="E9" i="228"/>
  <c r="O18" i="232"/>
  <c r="Q18" i="232" s="1"/>
  <c r="O17" i="228"/>
  <c r="Q17" i="228" s="1"/>
  <c r="O17" i="156"/>
  <c r="Q17" i="156" s="1"/>
  <c r="O18" i="162"/>
  <c r="Q18" i="162" s="1"/>
  <c r="O18" i="91"/>
  <c r="Q18" i="91" s="1"/>
  <c r="O18" i="200"/>
  <c r="Q18" i="200" s="1"/>
  <c r="O17" i="160"/>
  <c r="Q17" i="160" s="1"/>
  <c r="O17" i="154"/>
  <c r="Q17" i="154" s="1"/>
  <c r="O17" i="159"/>
  <c r="Q17" i="159" s="1"/>
  <c r="Q17" i="79"/>
  <c r="Z22" i="156"/>
  <c r="AD22" i="159"/>
  <c r="Z22" i="154"/>
  <c r="AA25" i="159"/>
  <c r="AC25" i="159" s="1"/>
  <c r="G24" i="41"/>
  <c r="I24" i="41" s="1"/>
  <c r="Y25" i="79"/>
  <c r="K28" i="79"/>
  <c r="M28" i="236"/>
  <c r="O13" i="79"/>
  <c r="Q13" i="236"/>
  <c r="G11" i="79"/>
  <c r="I11" i="236"/>
  <c r="O11" i="164"/>
  <c r="Q11" i="164" s="1"/>
  <c r="N11" i="231"/>
  <c r="N11" i="166"/>
  <c r="N11" i="165"/>
  <c r="N11" i="171"/>
  <c r="N11" i="170"/>
  <c r="N11" i="172"/>
  <c r="N11" i="168"/>
  <c r="N11" i="173"/>
  <c r="N11" i="169"/>
  <c r="N11" i="167"/>
  <c r="O18" i="79"/>
  <c r="Q18" i="236"/>
  <c r="K7" i="79"/>
  <c r="M7" i="236"/>
  <c r="O23" i="164"/>
  <c r="Q23" i="164" s="1"/>
  <c r="N23" i="231"/>
  <c r="N23" i="169"/>
  <c r="N23" i="167"/>
  <c r="N23" i="173"/>
  <c r="N23" i="172"/>
  <c r="N23" i="168"/>
  <c r="N23" i="170"/>
  <c r="N23" i="166"/>
  <c r="N23" i="165"/>
  <c r="N23" i="171"/>
  <c r="B41" i="162"/>
  <c r="E41" i="162" s="1"/>
  <c r="E47" i="162" s="1"/>
  <c r="R7" i="162"/>
  <c r="E7" i="162"/>
  <c r="E7" i="232"/>
  <c r="R7" i="232"/>
  <c r="B41" i="232"/>
  <c r="E41" i="232" s="1"/>
  <c r="E47" i="232" s="1"/>
  <c r="B40" i="232"/>
  <c r="W42" i="156"/>
  <c r="Y42" i="156" s="1"/>
  <c r="Y47" i="156" s="1"/>
  <c r="AA35" i="156"/>
  <c r="Y35" i="156"/>
  <c r="Y36" i="232"/>
  <c r="AA36" i="232"/>
  <c r="AC36" i="232" s="1"/>
  <c r="Y9" i="79"/>
  <c r="AA9" i="159"/>
  <c r="AC9" i="159" s="1"/>
  <c r="G8" i="41"/>
  <c r="I8" i="41" s="1"/>
  <c r="R14" i="166"/>
  <c r="E14" i="166"/>
  <c r="E14" i="169"/>
  <c r="R14" i="169"/>
  <c r="C39" i="41"/>
  <c r="E39" i="41" s="1"/>
  <c r="E44" i="41" s="1"/>
  <c r="E6" i="41"/>
  <c r="B28" i="82"/>
  <c r="C38" i="41"/>
  <c r="K6" i="41"/>
  <c r="Q20" i="160"/>
  <c r="Q21" i="162"/>
  <c r="O24" i="231"/>
  <c r="Q24" i="231" s="1"/>
  <c r="O24" i="169"/>
  <c r="Q24" i="169" s="1"/>
  <c r="O24" i="168"/>
  <c r="Q24" i="168" s="1"/>
  <c r="O24" i="167"/>
  <c r="Q24" i="167" s="1"/>
  <c r="O24" i="165"/>
  <c r="Q24" i="165" s="1"/>
  <c r="O24" i="170"/>
  <c r="Q24" i="170" s="1"/>
  <c r="O24" i="171"/>
  <c r="Q24" i="171" s="1"/>
  <c r="O24" i="166"/>
  <c r="Q24" i="166" s="1"/>
  <c r="O24" i="172"/>
  <c r="Q24" i="172" s="1"/>
  <c r="O24" i="173"/>
  <c r="Q24" i="173" s="1"/>
  <c r="O16" i="231"/>
  <c r="Q16" i="231" s="1"/>
  <c r="O16" i="167"/>
  <c r="Q16" i="167" s="1"/>
  <c r="O16" i="169"/>
  <c r="Q16" i="169" s="1"/>
  <c r="O16" i="173"/>
  <c r="Q16" i="173" s="1"/>
  <c r="O16" i="168"/>
  <c r="Q16" i="168" s="1"/>
  <c r="O16" i="165"/>
  <c r="Q16" i="165" s="1"/>
  <c r="O16" i="171"/>
  <c r="Q16" i="171" s="1"/>
  <c r="O16" i="166"/>
  <c r="Q16" i="166" s="1"/>
  <c r="O16" i="172"/>
  <c r="Q16" i="172" s="1"/>
  <c r="O16" i="170"/>
  <c r="Q16" i="170" s="1"/>
  <c r="R15" i="154"/>
  <c r="E14" i="41"/>
  <c r="I26" i="91"/>
  <c r="M25" i="156"/>
  <c r="I26" i="162"/>
  <c r="R13" i="91"/>
  <c r="E13" i="91"/>
  <c r="R12" i="228"/>
  <c r="E12" i="228"/>
  <c r="R17" i="168"/>
  <c r="F42" i="91"/>
  <c r="I9" i="91"/>
  <c r="I8" i="228"/>
  <c r="E22" i="41"/>
  <c r="O30" i="164"/>
  <c r="N30" i="231"/>
  <c r="N30" i="173"/>
  <c r="N30" i="172"/>
  <c r="N30" i="171"/>
  <c r="N30" i="170"/>
  <c r="N30" i="166"/>
  <c r="N30" i="169"/>
  <c r="N30" i="167"/>
  <c r="N30" i="168"/>
  <c r="N30" i="165"/>
  <c r="K26" i="164"/>
  <c r="M26" i="164" s="1"/>
  <c r="F26" i="231"/>
  <c r="B26" i="231"/>
  <c r="J26" i="231"/>
  <c r="F26" i="170"/>
  <c r="J26" i="172"/>
  <c r="F26" i="169"/>
  <c r="J26" i="173"/>
  <c r="F26" i="166"/>
  <c r="J26" i="171"/>
  <c r="B26" i="167"/>
  <c r="B26" i="172"/>
  <c r="F26" i="165"/>
  <c r="J26" i="166"/>
  <c r="J26" i="170"/>
  <c r="B26" i="166"/>
  <c r="F26" i="172"/>
  <c r="J26" i="167"/>
  <c r="J26" i="165"/>
  <c r="F26" i="167"/>
  <c r="F26" i="168"/>
  <c r="F26" i="173"/>
  <c r="J26" i="169"/>
  <c r="B26" i="171"/>
  <c r="B26" i="170"/>
  <c r="B26" i="165"/>
  <c r="F26" i="171"/>
  <c r="J26" i="168"/>
  <c r="B26" i="168"/>
  <c r="B26" i="173"/>
  <c r="B26" i="169"/>
  <c r="O27" i="79"/>
  <c r="Q27" i="236"/>
  <c r="AA34" i="232"/>
  <c r="G7" i="79"/>
  <c r="I7" i="236"/>
  <c r="AA32" i="154"/>
  <c r="AA32" i="228"/>
  <c r="K20" i="164"/>
  <c r="M20" i="164" s="1"/>
  <c r="B20" i="231"/>
  <c r="F20" i="231"/>
  <c r="J20" i="231"/>
  <c r="B20" i="172"/>
  <c r="F20" i="165"/>
  <c r="B20" i="166"/>
  <c r="J20" i="171"/>
  <c r="J20" i="172"/>
  <c r="F20" i="169"/>
  <c r="F20" i="167"/>
  <c r="B20" i="171"/>
  <c r="F20" i="173"/>
  <c r="F20" i="172"/>
  <c r="J20" i="166"/>
  <c r="B20" i="168"/>
  <c r="J20" i="168"/>
  <c r="B20" i="167"/>
  <c r="F20" i="166"/>
  <c r="B20" i="173"/>
  <c r="J20" i="165"/>
  <c r="J20" i="167"/>
  <c r="F20" i="168"/>
  <c r="B20" i="170"/>
  <c r="B20" i="165"/>
  <c r="B20" i="169"/>
  <c r="F20" i="171"/>
  <c r="J20" i="170"/>
  <c r="J20" i="169"/>
  <c r="F20" i="170"/>
  <c r="J20" i="173"/>
  <c r="R27" i="172"/>
  <c r="I27" i="231"/>
  <c r="R25" i="167"/>
  <c r="R25" i="166"/>
  <c r="R25" i="231"/>
  <c r="K21" i="41" l="1"/>
  <c r="M21" i="41" s="1"/>
  <c r="K11" i="41"/>
  <c r="M11" i="41" s="1"/>
  <c r="K19" i="41"/>
  <c r="M19" i="41" s="1"/>
  <c r="K23" i="41"/>
  <c r="M23" i="41" s="1"/>
  <c r="S25" i="154"/>
  <c r="AA25" i="154" s="1"/>
  <c r="R9" i="166"/>
  <c r="K13" i="41"/>
  <c r="M13" i="41" s="1"/>
  <c r="K9" i="41"/>
  <c r="M9" i="41" s="1"/>
  <c r="K10" i="41"/>
  <c r="M10" i="41" s="1"/>
  <c r="R9" i="165"/>
  <c r="Z9" i="165" s="1"/>
  <c r="K22" i="41"/>
  <c r="M22" i="41" s="1"/>
  <c r="R9" i="173"/>
  <c r="Z9" i="173" s="1"/>
  <c r="K35" i="41"/>
  <c r="M35" i="41" s="1"/>
  <c r="K12" i="41"/>
  <c r="M12" i="41" s="1"/>
  <c r="S25" i="160"/>
  <c r="U25" i="160" s="1"/>
  <c r="K33" i="41"/>
  <c r="M33" i="41" s="1"/>
  <c r="R9" i="169"/>
  <c r="S26" i="232"/>
  <c r="AA26" i="232" s="1"/>
  <c r="B39" i="167"/>
  <c r="R9" i="167"/>
  <c r="Z9" i="167" s="1"/>
  <c r="K32" i="41"/>
  <c r="M32" i="41" s="1"/>
  <c r="K7" i="41"/>
  <c r="M7" i="41" s="1"/>
  <c r="R8" i="172"/>
  <c r="Z8" i="172" s="1"/>
  <c r="K14" i="41"/>
  <c r="M14" i="41" s="1"/>
  <c r="AE34" i="159"/>
  <c r="S26" i="162"/>
  <c r="U26" i="162" s="1"/>
  <c r="R8" i="169"/>
  <c r="Z8" i="169" s="1"/>
  <c r="S25" i="156"/>
  <c r="AA25" i="156" s="1"/>
  <c r="S15" i="170"/>
  <c r="AA15" i="170" s="1"/>
  <c r="K15" i="41"/>
  <c r="M15" i="41" s="1"/>
  <c r="K26" i="41"/>
  <c r="M26" i="41" s="1"/>
  <c r="N39" i="167"/>
  <c r="R8" i="167"/>
  <c r="Z8" i="167" s="1"/>
  <c r="N39" i="173"/>
  <c r="N39" i="168"/>
  <c r="N39" i="170"/>
  <c r="R8" i="173"/>
  <c r="Z8" i="173" s="1"/>
  <c r="N39" i="171"/>
  <c r="N39" i="231"/>
  <c r="E44" i="154"/>
  <c r="K16" i="41"/>
  <c r="M16" i="41" s="1"/>
  <c r="R9" i="171"/>
  <c r="Z9" i="171" s="1"/>
  <c r="R9" i="168"/>
  <c r="N39" i="165"/>
  <c r="N39" i="166"/>
  <c r="R28" i="171"/>
  <c r="R8" i="170"/>
  <c r="Z8" i="170" s="1"/>
  <c r="N39" i="169"/>
  <c r="AE33" i="159"/>
  <c r="R8" i="171"/>
  <c r="Z8" i="171" s="1"/>
  <c r="N39" i="172"/>
  <c r="Z18" i="231"/>
  <c r="Z13" i="169"/>
  <c r="AA15" i="231"/>
  <c r="U15" i="231"/>
  <c r="Z18" i="168"/>
  <c r="Z13" i="170"/>
  <c r="Z13" i="171"/>
  <c r="M20" i="41"/>
  <c r="Z18" i="166"/>
  <c r="Z18" i="171"/>
  <c r="Z13" i="167"/>
  <c r="Z8" i="165"/>
  <c r="Z18" i="173"/>
  <c r="Z18" i="169"/>
  <c r="Z18" i="172"/>
  <c r="Z13" i="166"/>
  <c r="Z13" i="172"/>
  <c r="N32" i="79"/>
  <c r="Q32" i="236"/>
  <c r="R20" i="165"/>
  <c r="R20" i="172"/>
  <c r="G7" i="232"/>
  <c r="G7" i="228"/>
  <c r="G7" i="154"/>
  <c r="G7" i="200"/>
  <c r="G7" i="162"/>
  <c r="G7" i="160"/>
  <c r="G7" i="156"/>
  <c r="G7" i="91"/>
  <c r="G7" i="159"/>
  <c r="I7" i="79"/>
  <c r="R26" i="171"/>
  <c r="R26" i="166"/>
  <c r="R30" i="166"/>
  <c r="Z13" i="231"/>
  <c r="Z25" i="166"/>
  <c r="Z27" i="168"/>
  <c r="R20" i="170"/>
  <c r="R20" i="173"/>
  <c r="R20" i="168"/>
  <c r="R20" i="171"/>
  <c r="R20" i="231"/>
  <c r="R26" i="169"/>
  <c r="R26" i="167"/>
  <c r="R26" i="231"/>
  <c r="R30" i="168"/>
  <c r="R30" i="170"/>
  <c r="R30" i="231"/>
  <c r="Z12" i="228"/>
  <c r="Z14" i="169"/>
  <c r="K7" i="232"/>
  <c r="K7" i="228"/>
  <c r="K7" i="162"/>
  <c r="K7" i="159"/>
  <c r="K7" i="156"/>
  <c r="K7" i="154"/>
  <c r="K7" i="200"/>
  <c r="K7" i="91"/>
  <c r="K7" i="160"/>
  <c r="M7" i="79"/>
  <c r="G12" i="232"/>
  <c r="G11" i="228"/>
  <c r="G11" i="160"/>
  <c r="G11" i="156"/>
  <c r="G12" i="162"/>
  <c r="G12" i="200"/>
  <c r="G11" i="154"/>
  <c r="G12" i="91"/>
  <c r="G11" i="159"/>
  <c r="I11" i="79"/>
  <c r="C29" i="232"/>
  <c r="C28" i="156"/>
  <c r="E28" i="156" s="1"/>
  <c r="G28" i="228"/>
  <c r="I28" i="228" s="1"/>
  <c r="G29" i="232"/>
  <c r="I29" i="232" s="1"/>
  <c r="C28" i="228"/>
  <c r="K29" i="232"/>
  <c r="M29" i="232" s="1"/>
  <c r="K28" i="228"/>
  <c r="M28" i="228" s="1"/>
  <c r="G28" i="156"/>
  <c r="I28" i="156" s="1"/>
  <c r="G29" i="162"/>
  <c r="I29" i="162" s="1"/>
  <c r="C28" i="160"/>
  <c r="K29" i="200"/>
  <c r="M29" i="200" s="1"/>
  <c r="K29" i="91"/>
  <c r="M29" i="91" s="1"/>
  <c r="C29" i="200"/>
  <c r="K28" i="154"/>
  <c r="M28" i="154" s="1"/>
  <c r="K28" i="156"/>
  <c r="M28" i="156" s="1"/>
  <c r="G29" i="200"/>
  <c r="I29" i="200" s="1"/>
  <c r="K28" i="160"/>
  <c r="M28" i="160" s="1"/>
  <c r="C29" i="162"/>
  <c r="C29" i="91"/>
  <c r="C28" i="159"/>
  <c r="G28" i="154"/>
  <c r="G29" i="91"/>
  <c r="I29" i="91" s="1"/>
  <c r="G28" i="159"/>
  <c r="I28" i="159" s="1"/>
  <c r="K29" i="162"/>
  <c r="M29" i="162" s="1"/>
  <c r="K28" i="159"/>
  <c r="M28" i="159" s="1"/>
  <c r="G28" i="160"/>
  <c r="I28" i="160" s="1"/>
  <c r="M28" i="79"/>
  <c r="B18" i="33"/>
  <c r="Z18" i="165"/>
  <c r="AD9" i="159"/>
  <c r="Q15" i="154"/>
  <c r="S15" i="154"/>
  <c r="AA15" i="154" s="1"/>
  <c r="Q15" i="228"/>
  <c r="S15" i="228"/>
  <c r="Z11" i="154"/>
  <c r="K12" i="231"/>
  <c r="M12" i="231" s="1"/>
  <c r="K12" i="172"/>
  <c r="M12" i="172" s="1"/>
  <c r="K12" i="169"/>
  <c r="M12" i="169" s="1"/>
  <c r="K12" i="168"/>
  <c r="M12" i="168" s="1"/>
  <c r="K12" i="170"/>
  <c r="M12" i="170" s="1"/>
  <c r="K12" i="171"/>
  <c r="M12" i="171" s="1"/>
  <c r="K12" i="167"/>
  <c r="M12" i="167" s="1"/>
  <c r="K12" i="166"/>
  <c r="M12" i="166" s="1"/>
  <c r="K12" i="173"/>
  <c r="M12" i="173" s="1"/>
  <c r="K12" i="165"/>
  <c r="M12" i="165" s="1"/>
  <c r="Z8" i="156"/>
  <c r="M14" i="154"/>
  <c r="S14" i="154"/>
  <c r="M14" i="228"/>
  <c r="S14" i="228"/>
  <c r="I16" i="170"/>
  <c r="S16" i="170"/>
  <c r="AA16" i="170" s="1"/>
  <c r="I16" i="172"/>
  <c r="S16" i="172"/>
  <c r="AA16" i="172" s="1"/>
  <c r="Z16" i="168"/>
  <c r="Z16" i="169"/>
  <c r="S17" i="160"/>
  <c r="U17" i="160" s="1"/>
  <c r="E17" i="160"/>
  <c r="S18" i="91"/>
  <c r="U18" i="91" s="1"/>
  <c r="E18" i="91"/>
  <c r="Z29" i="154"/>
  <c r="S25" i="165"/>
  <c r="Z25" i="171"/>
  <c r="Z25" i="169"/>
  <c r="Z27" i="231"/>
  <c r="F39" i="171"/>
  <c r="R7" i="171"/>
  <c r="F39" i="172"/>
  <c r="R7" i="172"/>
  <c r="F39" i="231"/>
  <c r="R7" i="231"/>
  <c r="R12" i="168"/>
  <c r="R12" i="172"/>
  <c r="R12" i="231"/>
  <c r="Z17" i="169"/>
  <c r="M12" i="232"/>
  <c r="G10" i="233"/>
  <c r="Y41" i="232"/>
  <c r="Y47" i="232" s="1"/>
  <c r="Z14" i="172"/>
  <c r="J39" i="172"/>
  <c r="J39" i="168"/>
  <c r="J39" i="167"/>
  <c r="O12" i="232"/>
  <c r="O11" i="228"/>
  <c r="O11" i="160"/>
  <c r="Q11" i="160" s="1"/>
  <c r="O12" i="91"/>
  <c r="O12" i="200"/>
  <c r="O11" i="156"/>
  <c r="Q11" i="156" s="1"/>
  <c r="O11" i="154"/>
  <c r="O12" i="162"/>
  <c r="O11" i="159"/>
  <c r="Q11" i="159" s="1"/>
  <c r="Q11" i="79"/>
  <c r="O13" i="231"/>
  <c r="S13" i="231" s="1"/>
  <c r="AA13" i="231" s="1"/>
  <c r="O13" i="169"/>
  <c r="Q13" i="169" s="1"/>
  <c r="O13" i="173"/>
  <c r="Q13" i="173" s="1"/>
  <c r="O13" i="168"/>
  <c r="Q13" i="168" s="1"/>
  <c r="O13" i="165"/>
  <c r="Q13" i="165" s="1"/>
  <c r="O13" i="167"/>
  <c r="Q13" i="167" s="1"/>
  <c r="O13" i="171"/>
  <c r="Q13" i="171" s="1"/>
  <c r="O13" i="170"/>
  <c r="Q13" i="170" s="1"/>
  <c r="O13" i="166"/>
  <c r="Q13" i="166" s="1"/>
  <c r="O13" i="172"/>
  <c r="Q13" i="172" s="1"/>
  <c r="R28" i="167"/>
  <c r="R28" i="166"/>
  <c r="R28" i="169"/>
  <c r="Z12" i="232"/>
  <c r="R43" i="232"/>
  <c r="Z14" i="232"/>
  <c r="C24" i="232"/>
  <c r="C23" i="228"/>
  <c r="G24" i="232"/>
  <c r="I24" i="232" s="1"/>
  <c r="C23" i="156"/>
  <c r="G23" i="228"/>
  <c r="I23" i="228" s="1"/>
  <c r="K24" i="232"/>
  <c r="M24" i="232" s="1"/>
  <c r="K23" i="228"/>
  <c r="M23" i="228" s="1"/>
  <c r="K23" i="156"/>
  <c r="M23" i="156" s="1"/>
  <c r="G24" i="162"/>
  <c r="I24" i="162" s="1"/>
  <c r="G23" i="160"/>
  <c r="I23" i="160" s="1"/>
  <c r="G23" i="159"/>
  <c r="I23" i="159" s="1"/>
  <c r="C23" i="160"/>
  <c r="C24" i="91"/>
  <c r="K24" i="200"/>
  <c r="M24" i="200" s="1"/>
  <c r="G24" i="91"/>
  <c r="I24" i="91" s="1"/>
  <c r="K23" i="154"/>
  <c r="M23" i="154" s="1"/>
  <c r="G24" i="200"/>
  <c r="I24" i="200" s="1"/>
  <c r="C24" i="200"/>
  <c r="K24" i="91"/>
  <c r="M24" i="91" s="1"/>
  <c r="G23" i="156"/>
  <c r="I23" i="156" s="1"/>
  <c r="K23" i="159"/>
  <c r="M23" i="159" s="1"/>
  <c r="K24" i="162"/>
  <c r="M24" i="162" s="1"/>
  <c r="K23" i="160"/>
  <c r="M23" i="160" s="1"/>
  <c r="G23" i="154"/>
  <c r="C24" i="162"/>
  <c r="C23" i="159"/>
  <c r="M23" i="79"/>
  <c r="F9" i="177"/>
  <c r="Y41" i="154"/>
  <c r="Y45" i="154" s="1"/>
  <c r="Z26" i="156"/>
  <c r="Z20" i="156"/>
  <c r="K36" i="41"/>
  <c r="M36" i="41" s="1"/>
  <c r="Z21" i="228"/>
  <c r="S15" i="167"/>
  <c r="Z28" i="228"/>
  <c r="AD27" i="159"/>
  <c r="Z27" i="165"/>
  <c r="B27" i="33"/>
  <c r="R8" i="168"/>
  <c r="R19" i="171"/>
  <c r="R19" i="173"/>
  <c r="B39" i="173"/>
  <c r="R19" i="231"/>
  <c r="Z17" i="173"/>
  <c r="Z17" i="172"/>
  <c r="S25" i="159"/>
  <c r="AE25" i="159" s="1"/>
  <c r="Z16" i="232"/>
  <c r="K27" i="41"/>
  <c r="M27" i="41" s="1"/>
  <c r="R21" i="170"/>
  <c r="R21" i="165"/>
  <c r="R21" i="172"/>
  <c r="R21" i="166"/>
  <c r="Z9" i="154"/>
  <c r="C28" i="82"/>
  <c r="G38" i="41"/>
  <c r="G39" i="41"/>
  <c r="I39" i="41" s="1"/>
  <c r="I44" i="41" s="1"/>
  <c r="I6" i="41"/>
  <c r="I16" i="154"/>
  <c r="S16" i="154"/>
  <c r="I17" i="91"/>
  <c r="S17" i="91"/>
  <c r="U17" i="91" s="1"/>
  <c r="S16" i="156"/>
  <c r="I16" i="156"/>
  <c r="R23" i="172"/>
  <c r="R23" i="167"/>
  <c r="R23" i="166"/>
  <c r="R23" i="165"/>
  <c r="Z8" i="232"/>
  <c r="Y41" i="159"/>
  <c r="Y46" i="159" s="1"/>
  <c r="G9" i="191"/>
  <c r="Z25" i="156"/>
  <c r="AC25" i="156" s="1"/>
  <c r="I8" i="172"/>
  <c r="I8" i="165"/>
  <c r="Z23" i="156"/>
  <c r="Z29" i="232"/>
  <c r="Z27" i="154"/>
  <c r="Q7" i="154"/>
  <c r="Q7" i="200"/>
  <c r="Z24" i="154"/>
  <c r="E27" i="173"/>
  <c r="E27" i="170"/>
  <c r="E27" i="168"/>
  <c r="Z9" i="166"/>
  <c r="S17" i="170"/>
  <c r="AA17" i="170" s="1"/>
  <c r="S17" i="167"/>
  <c r="AA17" i="167" s="1"/>
  <c r="E17" i="167"/>
  <c r="E9" i="177"/>
  <c r="Y40" i="154"/>
  <c r="Y44" i="154" s="1"/>
  <c r="F9" i="191"/>
  <c r="Y40" i="159"/>
  <c r="Y45" i="159" s="1"/>
  <c r="R22" i="173"/>
  <c r="C22" i="231"/>
  <c r="G22" i="231"/>
  <c r="I22" i="231" s="1"/>
  <c r="K22" i="231"/>
  <c r="M22" i="231" s="1"/>
  <c r="G22" i="165"/>
  <c r="I22" i="165" s="1"/>
  <c r="G22" i="168"/>
  <c r="I22" i="168" s="1"/>
  <c r="K22" i="171"/>
  <c r="M22" i="171" s="1"/>
  <c r="G22" i="172"/>
  <c r="I22" i="172" s="1"/>
  <c r="K22" i="170"/>
  <c r="M22" i="170" s="1"/>
  <c r="C22" i="168"/>
  <c r="E22" i="168" s="1"/>
  <c r="K22" i="166"/>
  <c r="M22" i="166" s="1"/>
  <c r="K22" i="165"/>
  <c r="M22" i="165" s="1"/>
  <c r="C22" i="171"/>
  <c r="E22" i="171" s="1"/>
  <c r="K22" i="172"/>
  <c r="M22" i="172" s="1"/>
  <c r="G22" i="170"/>
  <c r="I22" i="170" s="1"/>
  <c r="K22" i="168"/>
  <c r="M22" i="168" s="1"/>
  <c r="C22" i="165"/>
  <c r="E22" i="165" s="1"/>
  <c r="G22" i="173"/>
  <c r="I22" i="173" s="1"/>
  <c r="K22" i="169"/>
  <c r="M22" i="169" s="1"/>
  <c r="C22" i="170"/>
  <c r="E22" i="170" s="1"/>
  <c r="C22" i="166"/>
  <c r="E22" i="166" s="1"/>
  <c r="K22" i="167"/>
  <c r="M22" i="167" s="1"/>
  <c r="C22" i="169"/>
  <c r="E22" i="169" s="1"/>
  <c r="C22" i="172"/>
  <c r="E22" i="172" s="1"/>
  <c r="G22" i="171"/>
  <c r="I22" i="171" s="1"/>
  <c r="C22" i="167"/>
  <c r="C22" i="173"/>
  <c r="G22" i="166"/>
  <c r="I22" i="166" s="1"/>
  <c r="G22" i="169"/>
  <c r="I22" i="169" s="1"/>
  <c r="K22" i="173"/>
  <c r="M22" i="173" s="1"/>
  <c r="G22" i="167"/>
  <c r="I22" i="167" s="1"/>
  <c r="R24" i="170"/>
  <c r="R24" i="165"/>
  <c r="R24" i="171"/>
  <c r="R24" i="168"/>
  <c r="R24" i="173"/>
  <c r="G24" i="231"/>
  <c r="I24" i="231" s="1"/>
  <c r="C24" i="231"/>
  <c r="K24" i="231"/>
  <c r="M24" i="231" s="1"/>
  <c r="K24" i="173"/>
  <c r="M24" i="173" s="1"/>
  <c r="K24" i="170"/>
  <c r="M24" i="170" s="1"/>
  <c r="G24" i="173"/>
  <c r="I24" i="173" s="1"/>
  <c r="K24" i="169"/>
  <c r="M24" i="169" s="1"/>
  <c r="K24" i="167"/>
  <c r="M24" i="167" s="1"/>
  <c r="K24" i="172"/>
  <c r="M24" i="172" s="1"/>
  <c r="G24" i="170"/>
  <c r="I24" i="170" s="1"/>
  <c r="C24" i="169"/>
  <c r="E24" i="169" s="1"/>
  <c r="G24" i="168"/>
  <c r="I24" i="168" s="1"/>
  <c r="K24" i="165"/>
  <c r="M24" i="165" s="1"/>
  <c r="C24" i="165"/>
  <c r="C24" i="171"/>
  <c r="G24" i="169"/>
  <c r="I24" i="169" s="1"/>
  <c r="C24" i="168"/>
  <c r="C24" i="173"/>
  <c r="C24" i="167"/>
  <c r="E24" i="167" s="1"/>
  <c r="G24" i="165"/>
  <c r="I24" i="165" s="1"/>
  <c r="K24" i="171"/>
  <c r="M24" i="171" s="1"/>
  <c r="G24" i="166"/>
  <c r="I24" i="166" s="1"/>
  <c r="K24" i="166"/>
  <c r="M24" i="166" s="1"/>
  <c r="C24" i="170"/>
  <c r="G24" i="172"/>
  <c r="I24" i="172" s="1"/>
  <c r="G24" i="167"/>
  <c r="I24" i="167" s="1"/>
  <c r="C24" i="166"/>
  <c r="E24" i="166" s="1"/>
  <c r="K24" i="168"/>
  <c r="M24" i="168" s="1"/>
  <c r="C24" i="172"/>
  <c r="S24" i="172" s="1"/>
  <c r="AA24" i="172" s="1"/>
  <c r="G24" i="171"/>
  <c r="I24" i="171" s="1"/>
  <c r="C22" i="232"/>
  <c r="C21" i="228"/>
  <c r="G22" i="232"/>
  <c r="I22" i="232" s="1"/>
  <c r="C21" i="156"/>
  <c r="G21" i="228"/>
  <c r="I21" i="228" s="1"/>
  <c r="K22" i="232"/>
  <c r="M22" i="232" s="1"/>
  <c r="K21" i="228"/>
  <c r="M21" i="228" s="1"/>
  <c r="C21" i="159"/>
  <c r="C22" i="91"/>
  <c r="K21" i="159"/>
  <c r="K21" i="160"/>
  <c r="K21" i="156"/>
  <c r="C22" i="162"/>
  <c r="C21" i="160"/>
  <c r="G21" i="156"/>
  <c r="K22" i="91"/>
  <c r="M22" i="91" s="1"/>
  <c r="K22" i="162"/>
  <c r="M22" i="162" s="1"/>
  <c r="G22" i="200"/>
  <c r="I22" i="200" s="1"/>
  <c r="G22" i="162"/>
  <c r="I22" i="162" s="1"/>
  <c r="K22" i="200"/>
  <c r="M22" i="200" s="1"/>
  <c r="G21" i="154"/>
  <c r="G22" i="91"/>
  <c r="I22" i="91" s="1"/>
  <c r="G21" i="159"/>
  <c r="G21" i="160"/>
  <c r="C22" i="200"/>
  <c r="K21" i="154"/>
  <c r="M21" i="154" s="1"/>
  <c r="M21" i="79"/>
  <c r="O26" i="231"/>
  <c r="O26" i="166"/>
  <c r="Q26" i="166" s="1"/>
  <c r="O26" i="173"/>
  <c r="Q26" i="173" s="1"/>
  <c r="O26" i="169"/>
  <c r="Q26" i="169" s="1"/>
  <c r="O26" i="168"/>
  <c r="Q26" i="168" s="1"/>
  <c r="O26" i="171"/>
  <c r="Q26" i="171" s="1"/>
  <c r="O26" i="165"/>
  <c r="Q26" i="165" s="1"/>
  <c r="O26" i="167"/>
  <c r="Q26" i="167" s="1"/>
  <c r="O26" i="170"/>
  <c r="Q26" i="170" s="1"/>
  <c r="O26" i="172"/>
  <c r="Q26" i="172" s="1"/>
  <c r="R29" i="170"/>
  <c r="R29" i="173"/>
  <c r="O29" i="231"/>
  <c r="S29" i="231" s="1"/>
  <c r="AA29" i="231" s="1"/>
  <c r="O29" i="169"/>
  <c r="S29" i="169" s="1"/>
  <c r="AA29" i="169" s="1"/>
  <c r="O29" i="172"/>
  <c r="S29" i="172" s="1"/>
  <c r="AA29" i="172" s="1"/>
  <c r="O29" i="167"/>
  <c r="S29" i="167" s="1"/>
  <c r="AA29" i="167" s="1"/>
  <c r="O29" i="166"/>
  <c r="S29" i="166" s="1"/>
  <c r="AA29" i="166" s="1"/>
  <c r="O29" i="170"/>
  <c r="S29" i="170" s="1"/>
  <c r="AA29" i="170" s="1"/>
  <c r="O29" i="173"/>
  <c r="S29" i="173" s="1"/>
  <c r="AA29" i="173" s="1"/>
  <c r="O29" i="171"/>
  <c r="S29" i="171" s="1"/>
  <c r="AA29" i="171" s="1"/>
  <c r="O29" i="168"/>
  <c r="S29" i="168" s="1"/>
  <c r="AA29" i="168" s="1"/>
  <c r="O29" i="165"/>
  <c r="S29" i="165" s="1"/>
  <c r="R10" i="170"/>
  <c r="R10" i="172"/>
  <c r="G10" i="231"/>
  <c r="G10" i="173"/>
  <c r="G10" i="170"/>
  <c r="G10" i="166"/>
  <c r="G10" i="167"/>
  <c r="G10" i="165"/>
  <c r="G10" i="168"/>
  <c r="G10" i="172"/>
  <c r="G10" i="169"/>
  <c r="G10" i="171"/>
  <c r="Z10" i="232"/>
  <c r="AD15" i="159"/>
  <c r="R43" i="91"/>
  <c r="R30" i="159"/>
  <c r="Q30" i="159"/>
  <c r="R30" i="154"/>
  <c r="Q30" i="154"/>
  <c r="Q31" i="232"/>
  <c r="R31" i="232"/>
  <c r="E19" i="91"/>
  <c r="E19" i="162"/>
  <c r="S14" i="170"/>
  <c r="AA14" i="170" s="1"/>
  <c r="Z8" i="228"/>
  <c r="AD8" i="159"/>
  <c r="I13" i="169"/>
  <c r="I13" i="170"/>
  <c r="Z10" i="228"/>
  <c r="K9" i="231"/>
  <c r="M9" i="231" s="1"/>
  <c r="K9" i="171"/>
  <c r="M9" i="171" s="1"/>
  <c r="K9" i="165"/>
  <c r="M9" i="165" s="1"/>
  <c r="K9" i="168"/>
  <c r="M9" i="168" s="1"/>
  <c r="K9" i="169"/>
  <c r="M9" i="169" s="1"/>
  <c r="K9" i="167"/>
  <c r="M9" i="167" s="1"/>
  <c r="K9" i="172"/>
  <c r="M9" i="172" s="1"/>
  <c r="K9" i="170"/>
  <c r="M9" i="170" s="1"/>
  <c r="K9" i="173"/>
  <c r="M9" i="173" s="1"/>
  <c r="K9" i="166"/>
  <c r="M9" i="166" s="1"/>
  <c r="G39" i="33"/>
  <c r="I39" i="33" s="1"/>
  <c r="S14" i="167"/>
  <c r="AA14" i="167" s="1"/>
  <c r="R11" i="165"/>
  <c r="R11" i="166"/>
  <c r="R11" i="171"/>
  <c r="R26" i="173"/>
  <c r="R30" i="167"/>
  <c r="R30" i="171"/>
  <c r="Z15" i="154"/>
  <c r="R41" i="162"/>
  <c r="Q16" i="200"/>
  <c r="S16" i="200"/>
  <c r="U16" i="200" s="1"/>
  <c r="Q15" i="159"/>
  <c r="S15" i="159"/>
  <c r="AE15" i="159" s="1"/>
  <c r="S16" i="232"/>
  <c r="AA16" i="232" s="1"/>
  <c r="Q16" i="232"/>
  <c r="AD13" i="159"/>
  <c r="B39" i="172"/>
  <c r="Z20" i="228"/>
  <c r="M15" i="162"/>
  <c r="S15" i="162"/>
  <c r="U15" i="162" s="1"/>
  <c r="M15" i="91"/>
  <c r="S15" i="91"/>
  <c r="U15" i="91" s="1"/>
  <c r="M15" i="232"/>
  <c r="S15" i="232"/>
  <c r="AA15" i="232" s="1"/>
  <c r="I16" i="171"/>
  <c r="S16" i="171"/>
  <c r="AA16" i="171" s="1"/>
  <c r="I16" i="166"/>
  <c r="S16" i="166"/>
  <c r="AA16" i="166" s="1"/>
  <c r="I16" i="167"/>
  <c r="S16" i="167"/>
  <c r="AA16" i="167" s="1"/>
  <c r="S18" i="200"/>
  <c r="U18" i="200" s="1"/>
  <c r="E18" i="200"/>
  <c r="S17" i="156"/>
  <c r="E17" i="156"/>
  <c r="AD25" i="159"/>
  <c r="Z29" i="228"/>
  <c r="Z24" i="232"/>
  <c r="Z28" i="232"/>
  <c r="S25" i="168"/>
  <c r="AA25" i="168" s="1"/>
  <c r="S25" i="169"/>
  <c r="AA25" i="169" s="1"/>
  <c r="Z27" i="169"/>
  <c r="O11" i="232"/>
  <c r="Q11" i="232" s="1"/>
  <c r="O10" i="228"/>
  <c r="Q10" i="228" s="1"/>
  <c r="O10" i="159"/>
  <c r="Q10" i="159" s="1"/>
  <c r="O10" i="160"/>
  <c r="Q10" i="160" s="1"/>
  <c r="O10" i="156"/>
  <c r="Q10" i="156" s="1"/>
  <c r="O11" i="91"/>
  <c r="Q11" i="91" s="1"/>
  <c r="O11" i="162"/>
  <c r="Q11" i="162" s="1"/>
  <c r="O11" i="200"/>
  <c r="Q11" i="200" s="1"/>
  <c r="O10" i="154"/>
  <c r="Q10" i="154" s="1"/>
  <c r="Q10" i="79"/>
  <c r="F39" i="173"/>
  <c r="R7" i="173"/>
  <c r="F39" i="170"/>
  <c r="R7" i="170"/>
  <c r="G7" i="231"/>
  <c r="G7" i="169"/>
  <c r="I7" i="169" s="1"/>
  <c r="G7" i="168"/>
  <c r="I7" i="168" s="1"/>
  <c r="G7" i="165"/>
  <c r="I7" i="165" s="1"/>
  <c r="G7" i="173"/>
  <c r="I7" i="173" s="1"/>
  <c r="G7" i="170"/>
  <c r="I7" i="170" s="1"/>
  <c r="G7" i="171"/>
  <c r="G7" i="166"/>
  <c r="I7" i="166" s="1"/>
  <c r="G7" i="167"/>
  <c r="I7" i="167" s="1"/>
  <c r="G7" i="172"/>
  <c r="I7" i="172" s="1"/>
  <c r="K9" i="232"/>
  <c r="K8" i="232"/>
  <c r="K8" i="228"/>
  <c r="K8" i="162"/>
  <c r="K8" i="159"/>
  <c r="K9" i="91"/>
  <c r="K9" i="162"/>
  <c r="K8" i="200"/>
  <c r="K8" i="154"/>
  <c r="K9" i="200"/>
  <c r="K8" i="160"/>
  <c r="K8" i="156"/>
  <c r="K8" i="91"/>
  <c r="M8" i="79"/>
  <c r="C19" i="228"/>
  <c r="G20" i="232"/>
  <c r="C20" i="232"/>
  <c r="G19" i="228"/>
  <c r="I19" i="228" s="1"/>
  <c r="C19" i="156"/>
  <c r="K20" i="232"/>
  <c r="M20" i="232" s="1"/>
  <c r="K19" i="228"/>
  <c r="M19" i="228" s="1"/>
  <c r="K20" i="91"/>
  <c r="M20" i="91" s="1"/>
  <c r="K19" i="156"/>
  <c r="M19" i="156" s="1"/>
  <c r="G19" i="159"/>
  <c r="I19" i="159" s="1"/>
  <c r="G20" i="162"/>
  <c r="C19" i="159"/>
  <c r="K19" i="154"/>
  <c r="M19" i="154" s="1"/>
  <c r="K20" i="200"/>
  <c r="M20" i="200" s="1"/>
  <c r="G20" i="200"/>
  <c r="C20" i="162"/>
  <c r="K20" i="162"/>
  <c r="M20" i="162" s="1"/>
  <c r="K19" i="159"/>
  <c r="M19" i="159" s="1"/>
  <c r="G19" i="154"/>
  <c r="G19" i="156"/>
  <c r="I19" i="156" s="1"/>
  <c r="G20" i="91"/>
  <c r="C20" i="91"/>
  <c r="G19" i="160"/>
  <c r="I19" i="160" s="1"/>
  <c r="K19" i="160"/>
  <c r="M19" i="160" s="1"/>
  <c r="C19" i="160"/>
  <c r="C20" i="200"/>
  <c r="M19" i="79"/>
  <c r="R12" i="170"/>
  <c r="R12" i="171"/>
  <c r="G12" i="231"/>
  <c r="I12" i="231" s="1"/>
  <c r="G12" i="167"/>
  <c r="G12" i="171"/>
  <c r="G12" i="173"/>
  <c r="G12" i="165"/>
  <c r="G12" i="168"/>
  <c r="G12" i="166"/>
  <c r="G12" i="172"/>
  <c r="G12" i="169"/>
  <c r="G12" i="170"/>
  <c r="B39" i="168"/>
  <c r="AD12" i="159"/>
  <c r="M12" i="162"/>
  <c r="Z15" i="232"/>
  <c r="J39" i="166"/>
  <c r="J39" i="169"/>
  <c r="J39" i="231"/>
  <c r="Z13" i="168"/>
  <c r="R28" i="173"/>
  <c r="R28" i="170"/>
  <c r="R28" i="231"/>
  <c r="S15" i="172"/>
  <c r="Q9" i="154"/>
  <c r="Q15" i="231"/>
  <c r="Z8" i="154"/>
  <c r="Z20" i="154"/>
  <c r="Z10" i="156"/>
  <c r="H10" i="233"/>
  <c r="Y42" i="232"/>
  <c r="Y48" i="232" s="1"/>
  <c r="Z29" i="156"/>
  <c r="K8" i="41"/>
  <c r="M8" i="41" s="1"/>
  <c r="Z25" i="172"/>
  <c r="Z25" i="168"/>
  <c r="Z27" i="171"/>
  <c r="AE32" i="159"/>
  <c r="R19" i="167"/>
  <c r="R19" i="169"/>
  <c r="B39" i="231"/>
  <c r="G13" i="232"/>
  <c r="G12" i="228"/>
  <c r="G13" i="162"/>
  <c r="G12" i="159"/>
  <c r="G12" i="156"/>
  <c r="G12" i="154"/>
  <c r="G12" i="160"/>
  <c r="G13" i="200"/>
  <c r="G13" i="91"/>
  <c r="I12" i="79"/>
  <c r="Z12" i="156"/>
  <c r="S25" i="228"/>
  <c r="AA25" i="228" s="1"/>
  <c r="F9" i="187"/>
  <c r="Y40" i="156"/>
  <c r="Y45" i="156" s="1"/>
  <c r="Z14" i="173"/>
  <c r="Q7" i="173"/>
  <c r="Y42" i="159"/>
  <c r="Y47" i="159" s="1"/>
  <c r="H9" i="191"/>
  <c r="C22" i="228"/>
  <c r="G23" i="232"/>
  <c r="I23" i="232" s="1"/>
  <c r="G22" i="228"/>
  <c r="I22" i="228" s="1"/>
  <c r="C23" i="232"/>
  <c r="C22" i="156"/>
  <c r="K23" i="232"/>
  <c r="M23" i="232" s="1"/>
  <c r="K22" i="228"/>
  <c r="M22" i="228" s="1"/>
  <c r="K22" i="160"/>
  <c r="M22" i="160" s="1"/>
  <c r="K23" i="162"/>
  <c r="M23" i="162" s="1"/>
  <c r="C22" i="160"/>
  <c r="C23" i="200"/>
  <c r="G22" i="159"/>
  <c r="I22" i="159" s="1"/>
  <c r="K22" i="154"/>
  <c r="M22" i="154" s="1"/>
  <c r="K22" i="156"/>
  <c r="M22" i="156" s="1"/>
  <c r="K23" i="200"/>
  <c r="M23" i="200" s="1"/>
  <c r="K23" i="91"/>
  <c r="M23" i="91" s="1"/>
  <c r="K22" i="159"/>
  <c r="M22" i="159" s="1"/>
  <c r="G23" i="91"/>
  <c r="I23" i="91" s="1"/>
  <c r="G22" i="160"/>
  <c r="I22" i="160" s="1"/>
  <c r="C23" i="162"/>
  <c r="C23" i="91"/>
  <c r="C22" i="159"/>
  <c r="G22" i="156"/>
  <c r="I22" i="156" s="1"/>
  <c r="G23" i="162"/>
  <c r="I23" i="162" s="1"/>
  <c r="G22" i="154"/>
  <c r="G23" i="200"/>
  <c r="I23" i="200" s="1"/>
  <c r="M22" i="79"/>
  <c r="G24" i="228"/>
  <c r="I24" i="228" s="1"/>
  <c r="C24" i="228"/>
  <c r="C25" i="232"/>
  <c r="C24" i="156"/>
  <c r="G25" i="232"/>
  <c r="I25" i="232" s="1"/>
  <c r="K25" i="232"/>
  <c r="M25" i="232" s="1"/>
  <c r="K24" i="228"/>
  <c r="M24" i="228" s="1"/>
  <c r="C24" i="159"/>
  <c r="G24" i="160"/>
  <c r="I24" i="160" s="1"/>
  <c r="G24" i="159"/>
  <c r="I24" i="159" s="1"/>
  <c r="K24" i="159"/>
  <c r="M24" i="159" s="1"/>
  <c r="C25" i="162"/>
  <c r="K24" i="160"/>
  <c r="M24" i="160" s="1"/>
  <c r="K25" i="162"/>
  <c r="M25" i="162" s="1"/>
  <c r="C25" i="200"/>
  <c r="G24" i="156"/>
  <c r="I24" i="156" s="1"/>
  <c r="G25" i="162"/>
  <c r="I25" i="162" s="1"/>
  <c r="K25" i="91"/>
  <c r="M25" i="91" s="1"/>
  <c r="K24" i="156"/>
  <c r="M24" i="156" s="1"/>
  <c r="G25" i="200"/>
  <c r="I25" i="200" s="1"/>
  <c r="K24" i="154"/>
  <c r="M24" i="154" s="1"/>
  <c r="C25" i="91"/>
  <c r="G24" i="154"/>
  <c r="C24" i="160"/>
  <c r="K25" i="200"/>
  <c r="M25" i="200" s="1"/>
  <c r="G25" i="91"/>
  <c r="I25" i="91" s="1"/>
  <c r="M24" i="79"/>
  <c r="R21" i="173"/>
  <c r="G11" i="232"/>
  <c r="G10" i="228"/>
  <c r="G10" i="159"/>
  <c r="G11" i="91"/>
  <c r="G10" i="154"/>
  <c r="G11" i="200"/>
  <c r="G10" i="156"/>
  <c r="G11" i="162"/>
  <c r="G10" i="160"/>
  <c r="I10" i="79"/>
  <c r="E18" i="166"/>
  <c r="R43" i="162"/>
  <c r="D21" i="82"/>
  <c r="AA40" i="159"/>
  <c r="AC7" i="159"/>
  <c r="AA39" i="159"/>
  <c r="I17" i="200"/>
  <c r="S17" i="200"/>
  <c r="U17" i="200" s="1"/>
  <c r="I16" i="160"/>
  <c r="S16" i="160"/>
  <c r="U16" i="160" s="1"/>
  <c r="AC35" i="159"/>
  <c r="AA42" i="159"/>
  <c r="R23" i="168"/>
  <c r="F9" i="229"/>
  <c r="Y41" i="228"/>
  <c r="Y45" i="228" s="1"/>
  <c r="B39" i="171"/>
  <c r="S14" i="165"/>
  <c r="U14" i="165" s="1"/>
  <c r="K28" i="41"/>
  <c r="M28" i="41" s="1"/>
  <c r="Z11" i="232"/>
  <c r="Z21" i="154"/>
  <c r="Z16" i="166"/>
  <c r="I8" i="166"/>
  <c r="I8" i="170"/>
  <c r="I8" i="168"/>
  <c r="Z23" i="228"/>
  <c r="Q7" i="156"/>
  <c r="Q7" i="91"/>
  <c r="AD24" i="159"/>
  <c r="E27" i="169"/>
  <c r="O27" i="231"/>
  <c r="Q27" i="231" s="1"/>
  <c r="O27" i="171"/>
  <c r="Q27" i="171" s="1"/>
  <c r="O27" i="167"/>
  <c r="S27" i="167" s="1"/>
  <c r="AA27" i="167" s="1"/>
  <c r="O27" i="172"/>
  <c r="Q27" i="172" s="1"/>
  <c r="O27" i="169"/>
  <c r="S27" i="169" s="1"/>
  <c r="O27" i="170"/>
  <c r="S27" i="170" s="1"/>
  <c r="O27" i="173"/>
  <c r="Q27" i="173" s="1"/>
  <c r="O27" i="166"/>
  <c r="S27" i="166" s="1"/>
  <c r="AA27" i="166" s="1"/>
  <c r="O27" i="168"/>
  <c r="Q27" i="168" s="1"/>
  <c r="O27" i="165"/>
  <c r="Q27" i="165" s="1"/>
  <c r="AE30" i="159"/>
  <c r="S17" i="172"/>
  <c r="AA17" i="172" s="1"/>
  <c r="S17" i="168"/>
  <c r="AA17" i="168" s="1"/>
  <c r="S17" i="166"/>
  <c r="AA17" i="166" s="1"/>
  <c r="S17" i="231"/>
  <c r="AA17" i="231" s="1"/>
  <c r="Z17" i="167"/>
  <c r="Z12" i="154"/>
  <c r="S26" i="200"/>
  <c r="U26" i="200" s="1"/>
  <c r="G9" i="177"/>
  <c r="Y39" i="154"/>
  <c r="Y43" i="154" s="1"/>
  <c r="Z14" i="167"/>
  <c r="K31" i="41"/>
  <c r="M31" i="41" s="1"/>
  <c r="R22" i="169"/>
  <c r="R22" i="168"/>
  <c r="R22" i="170"/>
  <c r="R22" i="171"/>
  <c r="E22" i="231"/>
  <c r="R22" i="231"/>
  <c r="R24" i="166"/>
  <c r="R24" i="172"/>
  <c r="R29" i="171"/>
  <c r="R29" i="167"/>
  <c r="R10" i="167"/>
  <c r="R10" i="168"/>
  <c r="AE36" i="159"/>
  <c r="AG36" i="159" s="1"/>
  <c r="AE31" i="159"/>
  <c r="R31" i="200"/>
  <c r="U31" i="200" s="1"/>
  <c r="Q31" i="200"/>
  <c r="R31" i="91"/>
  <c r="U31" i="91" s="1"/>
  <c r="Q31" i="91"/>
  <c r="E19" i="200"/>
  <c r="E18" i="228"/>
  <c r="I13" i="166"/>
  <c r="I13" i="172"/>
  <c r="S13" i="172"/>
  <c r="AA13" i="172" s="1"/>
  <c r="Z16" i="172"/>
  <c r="AC16" i="172" s="1"/>
  <c r="Z16" i="171"/>
  <c r="Z28" i="154"/>
  <c r="S14" i="168"/>
  <c r="AA14" i="168" s="1"/>
  <c r="R11" i="173"/>
  <c r="R11" i="170"/>
  <c r="R11" i="231"/>
  <c r="S14" i="173"/>
  <c r="AA14" i="173" s="1"/>
  <c r="Z27" i="167"/>
  <c r="R20" i="166"/>
  <c r="R26" i="165"/>
  <c r="Q30" i="164"/>
  <c r="O30" i="231"/>
  <c r="S30" i="231" s="1"/>
  <c r="AA30" i="231" s="1"/>
  <c r="O30" i="173"/>
  <c r="S30" i="173" s="1"/>
  <c r="AA30" i="173" s="1"/>
  <c r="O30" i="172"/>
  <c r="S30" i="172" s="1"/>
  <c r="AA30" i="172" s="1"/>
  <c r="O30" i="171"/>
  <c r="S30" i="171" s="1"/>
  <c r="AA30" i="171" s="1"/>
  <c r="O30" i="170"/>
  <c r="S30" i="170" s="1"/>
  <c r="AA30" i="170" s="1"/>
  <c r="O30" i="166"/>
  <c r="S30" i="166" s="1"/>
  <c r="AA30" i="166" s="1"/>
  <c r="O30" i="165"/>
  <c r="S30" i="165" s="1"/>
  <c r="O30" i="169"/>
  <c r="S30" i="169" s="1"/>
  <c r="AA30" i="169" s="1"/>
  <c r="O30" i="167"/>
  <c r="S30" i="167" s="1"/>
  <c r="AA30" i="167" s="1"/>
  <c r="O30" i="168"/>
  <c r="S30" i="168" s="1"/>
  <c r="AA30" i="168" s="1"/>
  <c r="Z25" i="231"/>
  <c r="Z25" i="167"/>
  <c r="Z27" i="172"/>
  <c r="R20" i="169"/>
  <c r="R20" i="167"/>
  <c r="O28" i="232"/>
  <c r="O27" i="228"/>
  <c r="O27" i="159"/>
  <c r="O28" i="91"/>
  <c r="O28" i="200"/>
  <c r="O27" i="154"/>
  <c r="O28" i="162"/>
  <c r="O27" i="160"/>
  <c r="O27" i="156"/>
  <c r="Q27" i="79"/>
  <c r="R26" i="168"/>
  <c r="R26" i="170"/>
  <c r="G26" i="231"/>
  <c r="I26" i="231" s="1"/>
  <c r="C26" i="231"/>
  <c r="K26" i="231"/>
  <c r="M26" i="231" s="1"/>
  <c r="G26" i="165"/>
  <c r="I26" i="165" s="1"/>
  <c r="G26" i="166"/>
  <c r="I26" i="166" s="1"/>
  <c r="G26" i="167"/>
  <c r="I26" i="167" s="1"/>
  <c r="C26" i="172"/>
  <c r="E26" i="172" s="1"/>
  <c r="C26" i="173"/>
  <c r="C26" i="167"/>
  <c r="E26" i="167" s="1"/>
  <c r="K26" i="170"/>
  <c r="M26" i="170" s="1"/>
  <c r="K26" i="165"/>
  <c r="M26" i="165" s="1"/>
  <c r="K26" i="171"/>
  <c r="M26" i="171" s="1"/>
  <c r="G26" i="173"/>
  <c r="I26" i="173" s="1"/>
  <c r="K26" i="166"/>
  <c r="M26" i="166" s="1"/>
  <c r="K26" i="168"/>
  <c r="M26" i="168" s="1"/>
  <c r="C26" i="168"/>
  <c r="E26" i="168" s="1"/>
  <c r="C26" i="165"/>
  <c r="G26" i="170"/>
  <c r="I26" i="170" s="1"/>
  <c r="K26" i="173"/>
  <c r="M26" i="173" s="1"/>
  <c r="G26" i="168"/>
  <c r="I26" i="168" s="1"/>
  <c r="G26" i="169"/>
  <c r="I26" i="169" s="1"/>
  <c r="K26" i="167"/>
  <c r="M26" i="167" s="1"/>
  <c r="C26" i="170"/>
  <c r="E26" i="170" s="1"/>
  <c r="G26" i="172"/>
  <c r="I26" i="172" s="1"/>
  <c r="C26" i="171"/>
  <c r="C26" i="166"/>
  <c r="G26" i="171"/>
  <c r="I26" i="171" s="1"/>
  <c r="K26" i="169"/>
  <c r="M26" i="169" s="1"/>
  <c r="K26" i="172"/>
  <c r="M26" i="172" s="1"/>
  <c r="C26" i="169"/>
  <c r="R30" i="169"/>
  <c r="R30" i="172"/>
  <c r="Z17" i="168"/>
  <c r="M6" i="41"/>
  <c r="AA42" i="156"/>
  <c r="AC42" i="156" s="1"/>
  <c r="AC47" i="156" s="1"/>
  <c r="AC35" i="156"/>
  <c r="Z7" i="232"/>
  <c r="R41" i="232"/>
  <c r="O23" i="231"/>
  <c r="Q23" i="231" s="1"/>
  <c r="O23" i="170"/>
  <c r="Q23" i="170" s="1"/>
  <c r="O23" i="171"/>
  <c r="Q23" i="171" s="1"/>
  <c r="O23" i="166"/>
  <c r="Q23" i="166" s="1"/>
  <c r="O23" i="168"/>
  <c r="Q23" i="168" s="1"/>
  <c r="O23" i="165"/>
  <c r="Q23" i="165" s="1"/>
  <c r="O23" i="167"/>
  <c r="Q23" i="167" s="1"/>
  <c r="O23" i="169"/>
  <c r="Q23" i="169" s="1"/>
  <c r="O23" i="173"/>
  <c r="Q23" i="173" s="1"/>
  <c r="O23" i="172"/>
  <c r="Q23" i="172" s="1"/>
  <c r="O19" i="232"/>
  <c r="Q19" i="232" s="1"/>
  <c r="O18" i="228"/>
  <c r="Q18" i="228" s="1"/>
  <c r="O19" i="200"/>
  <c r="Q19" i="200" s="1"/>
  <c r="O18" i="160"/>
  <c r="Q18" i="160" s="1"/>
  <c r="O18" i="154"/>
  <c r="Q18" i="154" s="1"/>
  <c r="O18" i="156"/>
  <c r="Q18" i="156" s="1"/>
  <c r="O19" i="91"/>
  <c r="Q19" i="91" s="1"/>
  <c r="O18" i="159"/>
  <c r="Q18" i="159" s="1"/>
  <c r="O19" i="162"/>
  <c r="Q19" i="162" s="1"/>
  <c r="Q18" i="79"/>
  <c r="O11" i="231"/>
  <c r="Q11" i="231" s="1"/>
  <c r="O11" i="166"/>
  <c r="Q11" i="166" s="1"/>
  <c r="O11" i="165"/>
  <c r="Q11" i="165" s="1"/>
  <c r="O11" i="169"/>
  <c r="Q11" i="169" s="1"/>
  <c r="O11" i="172"/>
  <c r="Q11" i="172" s="1"/>
  <c r="O11" i="173"/>
  <c r="Q11" i="173" s="1"/>
  <c r="O11" i="168"/>
  <c r="Q11" i="168" s="1"/>
  <c r="O11" i="170"/>
  <c r="Q11" i="170" s="1"/>
  <c r="O11" i="167"/>
  <c r="Q11" i="167" s="1"/>
  <c r="O11" i="171"/>
  <c r="Q11" i="171" s="1"/>
  <c r="O14" i="232"/>
  <c r="O13" i="228"/>
  <c r="O14" i="162"/>
  <c r="O13" i="159"/>
  <c r="O13" i="154"/>
  <c r="O13" i="156"/>
  <c r="O14" i="91"/>
  <c r="O13" i="160"/>
  <c r="O14" i="200"/>
  <c r="Q13" i="79"/>
  <c r="Z18" i="170"/>
  <c r="Z18" i="167"/>
  <c r="Z9" i="228"/>
  <c r="Q16" i="91"/>
  <c r="S16" i="91"/>
  <c r="U16" i="91" s="1"/>
  <c r="Q15" i="160"/>
  <c r="S15" i="160"/>
  <c r="U15" i="160" s="1"/>
  <c r="AD11" i="159"/>
  <c r="M14" i="166"/>
  <c r="S14" i="166"/>
  <c r="AA14" i="166" s="1"/>
  <c r="AD26" i="159"/>
  <c r="M14" i="159"/>
  <c r="S14" i="159"/>
  <c r="M15" i="200"/>
  <c r="S15" i="200"/>
  <c r="U15" i="200" s="1"/>
  <c r="I16" i="168"/>
  <c r="S16" i="168"/>
  <c r="AA16" i="168" s="1"/>
  <c r="I16" i="165"/>
  <c r="S16" i="165"/>
  <c r="U16" i="165" s="1"/>
  <c r="S16" i="231"/>
  <c r="AA16" i="231" s="1"/>
  <c r="AD10" i="159"/>
  <c r="K10" i="232"/>
  <c r="M10" i="232" s="1"/>
  <c r="K9" i="228"/>
  <c r="M9" i="228" s="1"/>
  <c r="K10" i="200"/>
  <c r="M10" i="200" s="1"/>
  <c r="K9" i="156"/>
  <c r="M9" i="156" s="1"/>
  <c r="K9" i="160"/>
  <c r="M9" i="160" s="1"/>
  <c r="K9" i="159"/>
  <c r="M9" i="159" s="1"/>
  <c r="K9" i="154"/>
  <c r="K10" i="162"/>
  <c r="M10" i="162" s="1"/>
  <c r="K10" i="91"/>
  <c r="M10" i="91" s="1"/>
  <c r="M9" i="79"/>
  <c r="S15" i="173"/>
  <c r="Z16" i="231"/>
  <c r="S17" i="159"/>
  <c r="E17" i="159"/>
  <c r="S18" i="162"/>
  <c r="U18" i="162" s="1"/>
  <c r="E18" i="162"/>
  <c r="S18" i="232"/>
  <c r="E18" i="232"/>
  <c r="Z26" i="232"/>
  <c r="AD23" i="159"/>
  <c r="Q28" i="156"/>
  <c r="S25" i="166"/>
  <c r="AA25" i="166" s="1"/>
  <c r="S25" i="172"/>
  <c r="AA25" i="172" s="1"/>
  <c r="S25" i="173"/>
  <c r="AA25" i="173" s="1"/>
  <c r="Z25" i="173"/>
  <c r="B25" i="33"/>
  <c r="Z25" i="165"/>
  <c r="U25" i="165"/>
  <c r="Z27" i="173"/>
  <c r="I7" i="164"/>
  <c r="F39" i="169"/>
  <c r="R7" i="169"/>
  <c r="F39" i="167"/>
  <c r="R7" i="167"/>
  <c r="I12" i="164"/>
  <c r="R12" i="169"/>
  <c r="R12" i="166"/>
  <c r="AC21" i="159"/>
  <c r="AA41" i="159"/>
  <c r="Z17" i="170"/>
  <c r="U17" i="170"/>
  <c r="M12" i="200"/>
  <c r="M11" i="154"/>
  <c r="Z14" i="170"/>
  <c r="Z7" i="228"/>
  <c r="R40" i="228"/>
  <c r="R40" i="160"/>
  <c r="O24" i="232"/>
  <c r="Q24" i="232" s="1"/>
  <c r="O23" i="228"/>
  <c r="Q23" i="228" s="1"/>
  <c r="O23" i="154"/>
  <c r="Q23" i="154" s="1"/>
  <c r="O23" i="160"/>
  <c r="Q23" i="160" s="1"/>
  <c r="O23" i="156"/>
  <c r="Q23" i="156" s="1"/>
  <c r="O23" i="159"/>
  <c r="Q23" i="159" s="1"/>
  <c r="O24" i="91"/>
  <c r="Q24" i="91" s="1"/>
  <c r="O24" i="162"/>
  <c r="Q24" i="162" s="1"/>
  <c r="O24" i="200"/>
  <c r="Q24" i="200" s="1"/>
  <c r="Q23" i="79"/>
  <c r="J39" i="173"/>
  <c r="J39" i="170"/>
  <c r="K7" i="231"/>
  <c r="K7" i="171"/>
  <c r="M7" i="171" s="1"/>
  <c r="K7" i="168"/>
  <c r="K7" i="166"/>
  <c r="M7" i="166" s="1"/>
  <c r="K7" i="173"/>
  <c r="M7" i="173" s="1"/>
  <c r="K7" i="172"/>
  <c r="K7" i="167"/>
  <c r="K7" i="169"/>
  <c r="M7" i="169" s="1"/>
  <c r="K7" i="170"/>
  <c r="K7" i="165"/>
  <c r="M7" i="165" s="1"/>
  <c r="O18" i="231"/>
  <c r="Q18" i="231" s="1"/>
  <c r="O18" i="173"/>
  <c r="Q18" i="173" s="1"/>
  <c r="O18" i="171"/>
  <c r="Q18" i="171" s="1"/>
  <c r="O18" i="170"/>
  <c r="Q18" i="170" s="1"/>
  <c r="O18" i="167"/>
  <c r="Q18" i="167" s="1"/>
  <c r="O18" i="168"/>
  <c r="Q18" i="168" s="1"/>
  <c r="O18" i="166"/>
  <c r="Q18" i="166" s="1"/>
  <c r="O18" i="172"/>
  <c r="Q18" i="172" s="1"/>
  <c r="O18" i="169"/>
  <c r="Q18" i="169" s="1"/>
  <c r="O18" i="165"/>
  <c r="Q18" i="165" s="1"/>
  <c r="B13" i="33"/>
  <c r="Z13" i="165"/>
  <c r="R28" i="168"/>
  <c r="R28" i="165"/>
  <c r="R28" i="172"/>
  <c r="Z15" i="156"/>
  <c r="I10" i="233"/>
  <c r="Y43" i="232"/>
  <c r="Y49" i="232" s="1"/>
  <c r="Z27" i="232"/>
  <c r="Z9" i="232"/>
  <c r="R42" i="232"/>
  <c r="AE37" i="159"/>
  <c r="AG37" i="159" s="1"/>
  <c r="G9" i="187"/>
  <c r="Y41" i="156"/>
  <c r="Y46" i="156" s="1"/>
  <c r="B16" i="33"/>
  <c r="Z16" i="165"/>
  <c r="AD28" i="159"/>
  <c r="R8" i="166"/>
  <c r="R8" i="231"/>
  <c r="R19" i="166"/>
  <c r="R19" i="170"/>
  <c r="K24" i="41"/>
  <c r="M24" i="41" s="1"/>
  <c r="Z17" i="171"/>
  <c r="Z17" i="165"/>
  <c r="B17" i="33"/>
  <c r="G9" i="229"/>
  <c r="Y39" i="228"/>
  <c r="Y43" i="228" s="1"/>
  <c r="Y39" i="156"/>
  <c r="Y44" i="156" s="1"/>
  <c r="I9" i="187"/>
  <c r="Q7" i="231"/>
  <c r="M34" i="41"/>
  <c r="Z7" i="154"/>
  <c r="R40" i="154"/>
  <c r="R40" i="159"/>
  <c r="AD7" i="159"/>
  <c r="R21" i="171"/>
  <c r="R21" i="168"/>
  <c r="R21" i="167"/>
  <c r="R21" i="231"/>
  <c r="S15" i="168"/>
  <c r="Z9" i="156"/>
  <c r="Z11" i="228"/>
  <c r="Z13" i="228"/>
  <c r="I16" i="159"/>
  <c r="S16" i="159"/>
  <c r="I16" i="228"/>
  <c r="S16" i="228"/>
  <c r="I34" i="41"/>
  <c r="G41" i="41"/>
  <c r="R23" i="173"/>
  <c r="R23" i="171"/>
  <c r="G23" i="231"/>
  <c r="I23" i="231" s="1"/>
  <c r="C23" i="231"/>
  <c r="K23" i="231"/>
  <c r="M23" i="231" s="1"/>
  <c r="G23" i="170"/>
  <c r="I23" i="170" s="1"/>
  <c r="G23" i="172"/>
  <c r="I23" i="172" s="1"/>
  <c r="K23" i="170"/>
  <c r="M23" i="170" s="1"/>
  <c r="C23" i="168"/>
  <c r="K23" i="167"/>
  <c r="M23" i="167" s="1"/>
  <c r="K23" i="166"/>
  <c r="M23" i="166" s="1"/>
  <c r="K23" i="169"/>
  <c r="M23" i="169" s="1"/>
  <c r="C23" i="166"/>
  <c r="E23" i="166" s="1"/>
  <c r="G23" i="169"/>
  <c r="I23" i="169" s="1"/>
  <c r="C23" i="170"/>
  <c r="E23" i="170" s="1"/>
  <c r="C23" i="173"/>
  <c r="K23" i="168"/>
  <c r="M23" i="168" s="1"/>
  <c r="C23" i="167"/>
  <c r="G23" i="168"/>
  <c r="I23" i="168" s="1"/>
  <c r="G23" i="165"/>
  <c r="I23" i="165" s="1"/>
  <c r="G23" i="166"/>
  <c r="I23" i="166" s="1"/>
  <c r="K23" i="165"/>
  <c r="M23" i="165" s="1"/>
  <c r="C23" i="171"/>
  <c r="E23" i="171" s="1"/>
  <c r="C23" i="165"/>
  <c r="C23" i="172"/>
  <c r="E23" i="172" s="1"/>
  <c r="C23" i="169"/>
  <c r="E23" i="169" s="1"/>
  <c r="K23" i="171"/>
  <c r="M23" i="171" s="1"/>
  <c r="K23" i="173"/>
  <c r="M23" i="173" s="1"/>
  <c r="G23" i="167"/>
  <c r="I23" i="167" s="1"/>
  <c r="K23" i="172"/>
  <c r="M23" i="172" s="1"/>
  <c r="G23" i="171"/>
  <c r="I23" i="171" s="1"/>
  <c r="G23" i="173"/>
  <c r="I23" i="173" s="1"/>
  <c r="Z21" i="232"/>
  <c r="AC15" i="170"/>
  <c r="Z22" i="232"/>
  <c r="C9" i="193"/>
  <c r="E40" i="41"/>
  <c r="E45" i="41" s="1"/>
  <c r="I8" i="167"/>
  <c r="I8" i="169"/>
  <c r="Q7" i="160"/>
  <c r="Q7" i="228"/>
  <c r="Z24" i="228"/>
  <c r="Z24" i="156"/>
  <c r="Q31" i="79"/>
  <c r="N32" i="232"/>
  <c r="N31" i="228"/>
  <c r="N31" i="156"/>
  <c r="N31" i="154"/>
  <c r="N32" i="162"/>
  <c r="N32" i="91"/>
  <c r="N32" i="200"/>
  <c r="N31" i="160"/>
  <c r="N31" i="159"/>
  <c r="Z25" i="232"/>
  <c r="E27" i="165"/>
  <c r="E27" i="172"/>
  <c r="G20" i="228"/>
  <c r="I20" i="228" s="1"/>
  <c r="C20" i="228"/>
  <c r="C21" i="232"/>
  <c r="G21" i="232"/>
  <c r="I21" i="232" s="1"/>
  <c r="C20" i="156"/>
  <c r="K21" i="232"/>
  <c r="M21" i="232" s="1"/>
  <c r="K20" i="228"/>
  <c r="M20" i="228" s="1"/>
  <c r="G20" i="156"/>
  <c r="I20" i="156" s="1"/>
  <c r="C21" i="200"/>
  <c r="G21" i="162"/>
  <c r="I21" i="162" s="1"/>
  <c r="G20" i="154"/>
  <c r="G21" i="91"/>
  <c r="I21" i="91" s="1"/>
  <c r="K20" i="159"/>
  <c r="M20" i="159" s="1"/>
  <c r="G20" i="160"/>
  <c r="I20" i="160" s="1"/>
  <c r="K21" i="91"/>
  <c r="M21" i="91" s="1"/>
  <c r="C21" i="162"/>
  <c r="G21" i="200"/>
  <c r="I21" i="200" s="1"/>
  <c r="K21" i="200"/>
  <c r="M21" i="200" s="1"/>
  <c r="K20" i="156"/>
  <c r="M20" i="156" s="1"/>
  <c r="K20" i="160"/>
  <c r="M20" i="160" s="1"/>
  <c r="K21" i="162"/>
  <c r="M21" i="162" s="1"/>
  <c r="K20" i="154"/>
  <c r="M20" i="154" s="1"/>
  <c r="C21" i="91"/>
  <c r="C20" i="159"/>
  <c r="C20" i="160"/>
  <c r="G20" i="159"/>
  <c r="I20" i="159" s="1"/>
  <c r="M20" i="79"/>
  <c r="Z9" i="170"/>
  <c r="Z9" i="172"/>
  <c r="R9" i="231"/>
  <c r="Q27" i="164"/>
  <c r="S17" i="169"/>
  <c r="AA17" i="169" s="1"/>
  <c r="E17" i="166"/>
  <c r="Z13" i="232"/>
  <c r="I9" i="191"/>
  <c r="Y39" i="159"/>
  <c r="Y44" i="159" s="1"/>
  <c r="R40" i="156"/>
  <c r="Z7" i="156"/>
  <c r="R22" i="166"/>
  <c r="R22" i="167"/>
  <c r="E22" i="167"/>
  <c r="R22" i="165"/>
  <c r="O12" i="231"/>
  <c r="Q12" i="231" s="1"/>
  <c r="O12" i="173"/>
  <c r="Q12" i="173" s="1"/>
  <c r="O12" i="172"/>
  <c r="Q12" i="172" s="1"/>
  <c r="O12" i="166"/>
  <c r="Q12" i="166" s="1"/>
  <c r="O12" i="165"/>
  <c r="Q12" i="165" s="1"/>
  <c r="O12" i="169"/>
  <c r="Q12" i="169" s="1"/>
  <c r="O12" i="171"/>
  <c r="Q12" i="171" s="1"/>
  <c r="O12" i="167"/>
  <c r="Q12" i="167" s="1"/>
  <c r="O12" i="170"/>
  <c r="Q12" i="170" s="1"/>
  <c r="O12" i="168"/>
  <c r="Q12" i="168" s="1"/>
  <c r="R24" i="169"/>
  <c r="E24" i="231"/>
  <c r="R24" i="231"/>
  <c r="R29" i="166"/>
  <c r="Q29" i="166"/>
  <c r="Q29" i="168"/>
  <c r="R29" i="168"/>
  <c r="R29" i="172"/>
  <c r="R10" i="165"/>
  <c r="R10" i="171"/>
  <c r="R10" i="173"/>
  <c r="E18" i="173"/>
  <c r="R30" i="156"/>
  <c r="Q30" i="156"/>
  <c r="R30" i="160"/>
  <c r="U30" i="160" s="1"/>
  <c r="Q30" i="160"/>
  <c r="E18" i="160"/>
  <c r="E18" i="154"/>
  <c r="E19" i="232"/>
  <c r="R42" i="91"/>
  <c r="I13" i="171"/>
  <c r="I13" i="168"/>
  <c r="S13" i="168"/>
  <c r="AA13" i="168" s="1"/>
  <c r="I13" i="167"/>
  <c r="S13" i="167"/>
  <c r="AA13" i="167" s="1"/>
  <c r="K18" i="41"/>
  <c r="M18" i="41" s="1"/>
  <c r="Z30" i="232"/>
  <c r="Z27" i="228"/>
  <c r="B39" i="166"/>
  <c r="S15" i="166"/>
  <c r="R11" i="169"/>
  <c r="R11" i="168"/>
  <c r="G11" i="231"/>
  <c r="G11" i="166"/>
  <c r="G11" i="168"/>
  <c r="G11" i="171"/>
  <c r="G11" i="170"/>
  <c r="G11" i="165"/>
  <c r="G11" i="169"/>
  <c r="G11" i="173"/>
  <c r="G11" i="172"/>
  <c r="G11" i="167"/>
  <c r="AC15" i="231"/>
  <c r="Z27" i="166"/>
  <c r="C20" i="231"/>
  <c r="E20" i="231" s="1"/>
  <c r="G20" i="231"/>
  <c r="I20" i="231" s="1"/>
  <c r="K20" i="231"/>
  <c r="M20" i="231" s="1"/>
  <c r="K20" i="173"/>
  <c r="M20" i="173" s="1"/>
  <c r="G20" i="165"/>
  <c r="I20" i="165" s="1"/>
  <c r="C20" i="168"/>
  <c r="E20" i="168" s="1"/>
  <c r="K20" i="172"/>
  <c r="M20" i="172" s="1"/>
  <c r="K20" i="165"/>
  <c r="M20" i="165" s="1"/>
  <c r="K20" i="168"/>
  <c r="M20" i="168" s="1"/>
  <c r="C20" i="171"/>
  <c r="K20" i="171"/>
  <c r="M20" i="171" s="1"/>
  <c r="G20" i="170"/>
  <c r="I20" i="170" s="1"/>
  <c r="K20" i="169"/>
  <c r="M20" i="169" s="1"/>
  <c r="G20" i="169"/>
  <c r="I20" i="169" s="1"/>
  <c r="C20" i="167"/>
  <c r="G20" i="171"/>
  <c r="I20" i="171" s="1"/>
  <c r="C20" i="165"/>
  <c r="C20" i="169"/>
  <c r="G20" i="172"/>
  <c r="I20" i="172" s="1"/>
  <c r="K20" i="167"/>
  <c r="M20" i="167" s="1"/>
  <c r="G20" i="173"/>
  <c r="I20" i="173" s="1"/>
  <c r="C20" i="172"/>
  <c r="K20" i="170"/>
  <c r="M20" i="170" s="1"/>
  <c r="C20" i="170"/>
  <c r="G20" i="167"/>
  <c r="I20" i="167" s="1"/>
  <c r="K20" i="166"/>
  <c r="M20" i="166" s="1"/>
  <c r="C20" i="173"/>
  <c r="G20" i="166"/>
  <c r="I20" i="166" s="1"/>
  <c r="C20" i="166"/>
  <c r="E20" i="166" s="1"/>
  <c r="G20" i="168"/>
  <c r="I20" i="168" s="1"/>
  <c r="R26" i="172"/>
  <c r="R30" i="165"/>
  <c r="R30" i="173"/>
  <c r="E9" i="193"/>
  <c r="E38" i="41"/>
  <c r="E43" i="41" s="1"/>
  <c r="Z14" i="166"/>
  <c r="B39" i="169"/>
  <c r="Q15" i="156"/>
  <c r="S15" i="156"/>
  <c r="AA15" i="156" s="1"/>
  <c r="Q16" i="162"/>
  <c r="S16" i="162"/>
  <c r="U16" i="162" s="1"/>
  <c r="Z11" i="156"/>
  <c r="M14" i="169"/>
  <c r="S14" i="169"/>
  <c r="AA14" i="169" s="1"/>
  <c r="Z13" i="156"/>
  <c r="Z26" i="228"/>
  <c r="Y44" i="232"/>
  <c r="Y50" i="232" s="1"/>
  <c r="J10" i="233"/>
  <c r="R42" i="162"/>
  <c r="M14" i="160"/>
  <c r="S14" i="160"/>
  <c r="U14" i="160" s="1"/>
  <c r="M14" i="156"/>
  <c r="S14" i="156"/>
  <c r="AA14" i="156" s="1"/>
  <c r="I16" i="173"/>
  <c r="S16" i="173"/>
  <c r="AA16" i="173" s="1"/>
  <c r="I16" i="169"/>
  <c r="S16" i="169"/>
  <c r="AA16" i="169" s="1"/>
  <c r="Z21" i="156"/>
  <c r="AD21" i="159"/>
  <c r="S17" i="154"/>
  <c r="E17" i="154"/>
  <c r="C41" i="154"/>
  <c r="E41" i="154" s="1"/>
  <c r="C39" i="154"/>
  <c r="E39" i="154" s="1"/>
  <c r="E43" i="154" s="1"/>
  <c r="S17" i="228"/>
  <c r="E17" i="228"/>
  <c r="Z25" i="154"/>
  <c r="AC25" i="154" s="1"/>
  <c r="U25" i="154"/>
  <c r="S25" i="167"/>
  <c r="AA25" i="167" s="1"/>
  <c r="S25" i="171"/>
  <c r="AA25" i="171" s="1"/>
  <c r="S25" i="170"/>
  <c r="AA25" i="170" s="1"/>
  <c r="S25" i="231"/>
  <c r="AA25" i="231" s="1"/>
  <c r="E25" i="171"/>
  <c r="E25" i="169"/>
  <c r="F39" i="166"/>
  <c r="R7" i="166"/>
  <c r="F39" i="165"/>
  <c r="R7" i="165"/>
  <c r="F39" i="168"/>
  <c r="R7" i="168"/>
  <c r="O9" i="232"/>
  <c r="O8" i="232"/>
  <c r="Q8" i="232" s="1"/>
  <c r="O8" i="228"/>
  <c r="Q8" i="228" s="1"/>
  <c r="O9" i="162"/>
  <c r="O8" i="91"/>
  <c r="Q8" i="91" s="1"/>
  <c r="O8" i="160"/>
  <c r="Q8" i="160" s="1"/>
  <c r="O8" i="154"/>
  <c r="Q8" i="154" s="1"/>
  <c r="O9" i="200"/>
  <c r="O8" i="200"/>
  <c r="Q8" i="200" s="1"/>
  <c r="O9" i="91"/>
  <c r="O8" i="162"/>
  <c r="Q8" i="162" s="1"/>
  <c r="O8" i="156"/>
  <c r="Q8" i="156" s="1"/>
  <c r="O8" i="159"/>
  <c r="Q8" i="159" s="1"/>
  <c r="Q8" i="79"/>
  <c r="R12" i="173"/>
  <c r="R12" i="167"/>
  <c r="R12" i="165"/>
  <c r="I20" i="41"/>
  <c r="G40" i="41"/>
  <c r="M12" i="91"/>
  <c r="M11" i="228"/>
  <c r="Y40" i="232"/>
  <c r="Y46" i="232" s="1"/>
  <c r="K10" i="233"/>
  <c r="U14" i="231"/>
  <c r="Z14" i="231"/>
  <c r="AC14" i="231" s="1"/>
  <c r="J39" i="165"/>
  <c r="J39" i="171"/>
  <c r="Z13" i="173"/>
  <c r="Z28" i="171"/>
  <c r="C28" i="231"/>
  <c r="G28" i="231"/>
  <c r="I28" i="231" s="1"/>
  <c r="K28" i="231"/>
  <c r="M28" i="231" s="1"/>
  <c r="K28" i="171"/>
  <c r="M28" i="171" s="1"/>
  <c r="K28" i="167"/>
  <c r="M28" i="167" s="1"/>
  <c r="C28" i="171"/>
  <c r="K28" i="172"/>
  <c r="M28" i="172" s="1"/>
  <c r="G28" i="165"/>
  <c r="I28" i="165" s="1"/>
  <c r="K28" i="166"/>
  <c r="M28" i="166" s="1"/>
  <c r="K28" i="168"/>
  <c r="M28" i="168" s="1"/>
  <c r="C28" i="173"/>
  <c r="G28" i="171"/>
  <c r="I28" i="171" s="1"/>
  <c r="G28" i="172"/>
  <c r="I28" i="172" s="1"/>
  <c r="K28" i="173"/>
  <c r="M28" i="173" s="1"/>
  <c r="G28" i="167"/>
  <c r="I28" i="167" s="1"/>
  <c r="C28" i="168"/>
  <c r="G28" i="169"/>
  <c r="I28" i="169" s="1"/>
  <c r="G28" i="170"/>
  <c r="I28" i="170" s="1"/>
  <c r="K28" i="170"/>
  <c r="M28" i="170" s="1"/>
  <c r="C28" i="165"/>
  <c r="K28" i="165"/>
  <c r="M28" i="165" s="1"/>
  <c r="G28" i="173"/>
  <c r="I28" i="173" s="1"/>
  <c r="C28" i="172"/>
  <c r="C28" i="170"/>
  <c r="C28" i="167"/>
  <c r="C28" i="166"/>
  <c r="G28" i="168"/>
  <c r="I28" i="168" s="1"/>
  <c r="K28" i="169"/>
  <c r="M28" i="169" s="1"/>
  <c r="C28" i="169"/>
  <c r="G28" i="166"/>
  <c r="I28" i="166" s="1"/>
  <c r="R43" i="200"/>
  <c r="Z14" i="156"/>
  <c r="M14" i="231"/>
  <c r="Z13" i="154"/>
  <c r="Z26" i="154"/>
  <c r="S14" i="171"/>
  <c r="AA14" i="171" s="1"/>
  <c r="R42" i="200"/>
  <c r="AD20" i="159"/>
  <c r="Z10" i="154"/>
  <c r="Z28" i="156"/>
  <c r="Z23" i="154"/>
  <c r="J15" i="33"/>
  <c r="Z25" i="170"/>
  <c r="O10" i="231"/>
  <c r="Q10" i="231" s="1"/>
  <c r="O10" i="166"/>
  <c r="Q10" i="166" s="1"/>
  <c r="O10" i="173"/>
  <c r="Q10" i="173" s="1"/>
  <c r="O10" i="170"/>
  <c r="Q10" i="170" s="1"/>
  <c r="O10" i="168"/>
  <c r="Q10" i="168" s="1"/>
  <c r="O10" i="172"/>
  <c r="Q10" i="172" s="1"/>
  <c r="O10" i="169"/>
  <c r="Q10" i="169" s="1"/>
  <c r="O10" i="165"/>
  <c r="Q10" i="165" s="1"/>
  <c r="O10" i="171"/>
  <c r="Q10" i="171" s="1"/>
  <c r="O10" i="167"/>
  <c r="Q10" i="167" s="1"/>
  <c r="G10" i="232"/>
  <c r="G9" i="228"/>
  <c r="G10" i="162"/>
  <c r="G10" i="91"/>
  <c r="G9" i="160"/>
  <c r="G9" i="159"/>
  <c r="G10" i="200"/>
  <c r="G9" i="154"/>
  <c r="G9" i="156"/>
  <c r="I9" i="79"/>
  <c r="K8" i="231"/>
  <c r="M8" i="231" s="1"/>
  <c r="K8" i="170"/>
  <c r="M8" i="170" s="1"/>
  <c r="K8" i="168"/>
  <c r="M8" i="168" s="1"/>
  <c r="K8" i="165"/>
  <c r="M8" i="165" s="1"/>
  <c r="K8" i="171"/>
  <c r="M8" i="171" s="1"/>
  <c r="K8" i="169"/>
  <c r="M8" i="169" s="1"/>
  <c r="K8" i="173"/>
  <c r="M8" i="173" s="1"/>
  <c r="K8" i="167"/>
  <c r="M8" i="167" s="1"/>
  <c r="K8" i="166"/>
  <c r="M8" i="166" s="1"/>
  <c r="K8" i="172"/>
  <c r="M8" i="172" s="1"/>
  <c r="O8" i="231"/>
  <c r="O8" i="169"/>
  <c r="Q8" i="169" s="1"/>
  <c r="O8" i="170"/>
  <c r="Q8" i="170" s="1"/>
  <c r="O8" i="167"/>
  <c r="Q8" i="167" s="1"/>
  <c r="O8" i="168"/>
  <c r="Q8" i="168" s="1"/>
  <c r="O8" i="165"/>
  <c r="Q8" i="165" s="1"/>
  <c r="O8" i="166"/>
  <c r="Q8" i="166" s="1"/>
  <c r="O8" i="171"/>
  <c r="Q8" i="171" s="1"/>
  <c r="O8" i="173"/>
  <c r="Q8" i="173" s="1"/>
  <c r="O8" i="172"/>
  <c r="Q8" i="172" s="1"/>
  <c r="R19" i="172"/>
  <c r="R19" i="168"/>
  <c r="R19" i="165"/>
  <c r="B39" i="165"/>
  <c r="G19" i="231"/>
  <c r="I19" i="231" s="1"/>
  <c r="C19" i="231"/>
  <c r="K19" i="231"/>
  <c r="M19" i="231" s="1"/>
  <c r="K19" i="173"/>
  <c r="M19" i="173" s="1"/>
  <c r="G19" i="171"/>
  <c r="I19" i="171" s="1"/>
  <c r="K19" i="170"/>
  <c r="M19" i="170" s="1"/>
  <c r="C19" i="165"/>
  <c r="C19" i="169"/>
  <c r="K19" i="165"/>
  <c r="M19" i="165" s="1"/>
  <c r="G19" i="169"/>
  <c r="I19" i="169" s="1"/>
  <c r="C19" i="168"/>
  <c r="G19" i="165"/>
  <c r="I19" i="165" s="1"/>
  <c r="K19" i="166"/>
  <c r="M19" i="166" s="1"/>
  <c r="G19" i="167"/>
  <c r="I19" i="167" s="1"/>
  <c r="K19" i="169"/>
  <c r="M19" i="169" s="1"/>
  <c r="G19" i="168"/>
  <c r="I19" i="168" s="1"/>
  <c r="G19" i="173"/>
  <c r="I19" i="173" s="1"/>
  <c r="C19" i="167"/>
  <c r="C19" i="171"/>
  <c r="E19" i="171" s="1"/>
  <c r="K19" i="167"/>
  <c r="M19" i="167" s="1"/>
  <c r="C19" i="173"/>
  <c r="K19" i="168"/>
  <c r="M19" i="168" s="1"/>
  <c r="C19" i="170"/>
  <c r="G19" i="172"/>
  <c r="I19" i="172" s="1"/>
  <c r="G19" i="166"/>
  <c r="I19" i="166" s="1"/>
  <c r="K19" i="171"/>
  <c r="M19" i="171" s="1"/>
  <c r="C19" i="172"/>
  <c r="K19" i="172"/>
  <c r="M19" i="172" s="1"/>
  <c r="G19" i="170"/>
  <c r="I19" i="170" s="1"/>
  <c r="C19" i="166"/>
  <c r="Z17" i="231"/>
  <c r="Z14" i="171"/>
  <c r="B14" i="33"/>
  <c r="Z14" i="165"/>
  <c r="Q7" i="172"/>
  <c r="AG35" i="159"/>
  <c r="O13" i="232"/>
  <c r="Q13" i="232" s="1"/>
  <c r="O12" i="228"/>
  <c r="Q12" i="228" s="1"/>
  <c r="O12" i="154"/>
  <c r="Q12" i="154" s="1"/>
  <c r="O13" i="91"/>
  <c r="Q13" i="91" s="1"/>
  <c r="O13" i="200"/>
  <c r="Q13" i="200" s="1"/>
  <c r="O12" i="159"/>
  <c r="Q12" i="159" s="1"/>
  <c r="O12" i="156"/>
  <c r="Q12" i="156" s="1"/>
  <c r="O13" i="162"/>
  <c r="Q13" i="162" s="1"/>
  <c r="O12" i="160"/>
  <c r="Q12" i="160" s="1"/>
  <c r="Q12" i="79"/>
  <c r="R21" i="169"/>
  <c r="C21" i="231"/>
  <c r="G21" i="231"/>
  <c r="I21" i="231" s="1"/>
  <c r="K21" i="231"/>
  <c r="M21" i="231" s="1"/>
  <c r="K21" i="172"/>
  <c r="M21" i="172" s="1"/>
  <c r="G21" i="167"/>
  <c r="I21" i="167" s="1"/>
  <c r="G21" i="168"/>
  <c r="I21" i="168" s="1"/>
  <c r="G21" i="171"/>
  <c r="I21" i="171" s="1"/>
  <c r="C21" i="166"/>
  <c r="E21" i="166" s="1"/>
  <c r="G21" i="173"/>
  <c r="I21" i="173" s="1"/>
  <c r="G21" i="172"/>
  <c r="I21" i="172" s="1"/>
  <c r="K21" i="171"/>
  <c r="M21" i="171" s="1"/>
  <c r="G21" i="169"/>
  <c r="I21" i="169" s="1"/>
  <c r="C21" i="170"/>
  <c r="E21" i="170" s="1"/>
  <c r="K21" i="170"/>
  <c r="M21" i="170" s="1"/>
  <c r="C21" i="165"/>
  <c r="C21" i="172"/>
  <c r="E21" i="172" s="1"/>
  <c r="G21" i="170"/>
  <c r="I21" i="170" s="1"/>
  <c r="C21" i="169"/>
  <c r="C21" i="173"/>
  <c r="G21" i="165"/>
  <c r="I21" i="165" s="1"/>
  <c r="K21" i="165"/>
  <c r="M21" i="165" s="1"/>
  <c r="K21" i="173"/>
  <c r="M21" i="173" s="1"/>
  <c r="K21" i="166"/>
  <c r="M21" i="166" s="1"/>
  <c r="C21" i="167"/>
  <c r="E21" i="167" s="1"/>
  <c r="G21" i="166"/>
  <c r="I21" i="166" s="1"/>
  <c r="K21" i="167"/>
  <c r="M21" i="167" s="1"/>
  <c r="C21" i="171"/>
  <c r="S21" i="171" s="1"/>
  <c r="AA21" i="171" s="1"/>
  <c r="C21" i="168"/>
  <c r="E21" i="168" s="1"/>
  <c r="K21" i="168"/>
  <c r="M21" i="168" s="1"/>
  <c r="K21" i="169"/>
  <c r="M21" i="169" s="1"/>
  <c r="O27" i="232"/>
  <c r="Q27" i="232" s="1"/>
  <c r="O26" i="228"/>
  <c r="Q26" i="228" s="1"/>
  <c r="O27" i="91"/>
  <c r="Q27" i="91" s="1"/>
  <c r="O26" i="156"/>
  <c r="Q26" i="156" s="1"/>
  <c r="O26" i="160"/>
  <c r="Q26" i="160" s="1"/>
  <c r="O27" i="162"/>
  <c r="Q27" i="162" s="1"/>
  <c r="O26" i="159"/>
  <c r="Q26" i="159" s="1"/>
  <c r="O26" i="154"/>
  <c r="Q26" i="154" s="1"/>
  <c r="O27" i="200"/>
  <c r="Q27" i="200" s="1"/>
  <c r="Q26" i="79"/>
  <c r="O30" i="232"/>
  <c r="O29" i="228"/>
  <c r="O30" i="200"/>
  <c r="O29" i="156"/>
  <c r="O30" i="162"/>
  <c r="O30" i="91"/>
  <c r="O29" i="160"/>
  <c r="O29" i="159"/>
  <c r="O29" i="154"/>
  <c r="Q29" i="79"/>
  <c r="E18" i="172"/>
  <c r="I17" i="162"/>
  <c r="S17" i="162"/>
  <c r="U17" i="162" s="1"/>
  <c r="I17" i="232"/>
  <c r="S17" i="232"/>
  <c r="R23" i="169"/>
  <c r="R23" i="170"/>
  <c r="R23" i="231"/>
  <c r="K30" i="41"/>
  <c r="M30" i="41" s="1"/>
  <c r="Z16" i="173"/>
  <c r="Z16" i="170"/>
  <c r="I8" i="173"/>
  <c r="I8" i="171"/>
  <c r="Z27" i="156"/>
  <c r="Q7" i="159"/>
  <c r="Q7" i="162"/>
  <c r="Q7" i="232"/>
  <c r="E27" i="166"/>
  <c r="E27" i="171"/>
  <c r="E27" i="167"/>
  <c r="Z27" i="170"/>
  <c r="Z9" i="169"/>
  <c r="G9" i="231"/>
  <c r="G9" i="167"/>
  <c r="G9" i="169"/>
  <c r="G9" i="173"/>
  <c r="G9" i="171"/>
  <c r="G9" i="165"/>
  <c r="G9" i="168"/>
  <c r="G9" i="170"/>
  <c r="G9" i="166"/>
  <c r="G9" i="172"/>
  <c r="C27" i="232"/>
  <c r="G27" i="232"/>
  <c r="I27" i="232" s="1"/>
  <c r="C26" i="156"/>
  <c r="C26" i="228"/>
  <c r="G26" i="228"/>
  <c r="I26" i="228" s="1"/>
  <c r="K27" i="232"/>
  <c r="M27" i="232" s="1"/>
  <c r="K26" i="228"/>
  <c r="M26" i="228" s="1"/>
  <c r="C27" i="162"/>
  <c r="G27" i="91"/>
  <c r="I27" i="91" s="1"/>
  <c r="G26" i="160"/>
  <c r="I26" i="160" s="1"/>
  <c r="C27" i="91"/>
  <c r="K26" i="154"/>
  <c r="M26" i="154" s="1"/>
  <c r="C27" i="200"/>
  <c r="K27" i="162"/>
  <c r="M27" i="162" s="1"/>
  <c r="K27" i="200"/>
  <c r="M27" i="200" s="1"/>
  <c r="G26" i="159"/>
  <c r="I26" i="159" s="1"/>
  <c r="K27" i="91"/>
  <c r="M27" i="91" s="1"/>
  <c r="G26" i="156"/>
  <c r="I26" i="156" s="1"/>
  <c r="G27" i="162"/>
  <c r="I27" i="162" s="1"/>
  <c r="C26" i="159"/>
  <c r="K26" i="156"/>
  <c r="M26" i="156" s="1"/>
  <c r="G27" i="200"/>
  <c r="I27" i="200" s="1"/>
  <c r="G26" i="154"/>
  <c r="K26" i="160"/>
  <c r="M26" i="160" s="1"/>
  <c r="C26" i="160"/>
  <c r="K26" i="159"/>
  <c r="M26" i="159" s="1"/>
  <c r="M26" i="79"/>
  <c r="S17" i="171"/>
  <c r="AA17" i="171" s="1"/>
  <c r="S17" i="173"/>
  <c r="AA17" i="173" s="1"/>
  <c r="AC17" i="173" s="1"/>
  <c r="S17" i="165"/>
  <c r="U17" i="165" s="1"/>
  <c r="Z17" i="166"/>
  <c r="S26" i="91"/>
  <c r="U26" i="91" s="1"/>
  <c r="K25" i="41"/>
  <c r="M25" i="41" s="1"/>
  <c r="K29" i="41"/>
  <c r="M29" i="41" s="1"/>
  <c r="Z14" i="168"/>
  <c r="R41" i="91"/>
  <c r="R41" i="200"/>
  <c r="R22" i="172"/>
  <c r="R24" i="167"/>
  <c r="Q26" i="231"/>
  <c r="R29" i="165"/>
  <c r="R29" i="169"/>
  <c r="Q29" i="231"/>
  <c r="R29" i="231"/>
  <c r="R10" i="166"/>
  <c r="R10" i="169"/>
  <c r="I10" i="231"/>
  <c r="R10" i="231"/>
  <c r="S15" i="171"/>
  <c r="K13" i="232"/>
  <c r="M13" i="232" s="1"/>
  <c r="K12" i="228"/>
  <c r="M12" i="228" s="1"/>
  <c r="K12" i="159"/>
  <c r="M12" i="159" s="1"/>
  <c r="K13" i="162"/>
  <c r="M13" i="162" s="1"/>
  <c r="K12" i="160"/>
  <c r="M12" i="160" s="1"/>
  <c r="K12" i="156"/>
  <c r="M12" i="156" s="1"/>
  <c r="K13" i="200"/>
  <c r="M13" i="200" s="1"/>
  <c r="K13" i="91"/>
  <c r="M13" i="91" s="1"/>
  <c r="K12" i="154"/>
  <c r="M12" i="154" s="1"/>
  <c r="M12" i="79"/>
  <c r="R31" i="162"/>
  <c r="U31" i="162" s="1"/>
  <c r="Q31" i="162"/>
  <c r="Q30" i="228"/>
  <c r="R30" i="228"/>
  <c r="E18" i="159"/>
  <c r="E18" i="156"/>
  <c r="I13" i="165"/>
  <c r="I13" i="173"/>
  <c r="Z16" i="167"/>
  <c r="Z25" i="228"/>
  <c r="AD29" i="159"/>
  <c r="B39" i="170"/>
  <c r="R11" i="172"/>
  <c r="R11" i="167"/>
  <c r="S15" i="169"/>
  <c r="S14" i="172"/>
  <c r="AA14" i="172" s="1"/>
  <c r="S15" i="165"/>
  <c r="Q27" i="166" l="1"/>
  <c r="E24" i="172"/>
  <c r="AC25" i="228"/>
  <c r="U16" i="171"/>
  <c r="AC14" i="167"/>
  <c r="S13" i="169"/>
  <c r="AA13" i="169" s="1"/>
  <c r="AC25" i="166"/>
  <c r="U16" i="172"/>
  <c r="S18" i="171"/>
  <c r="AA18" i="171" s="1"/>
  <c r="AC18" i="171" s="1"/>
  <c r="U25" i="156"/>
  <c r="U16" i="173"/>
  <c r="U25" i="159"/>
  <c r="K41" i="41"/>
  <c r="M41" i="41" s="1"/>
  <c r="M46" i="41" s="1"/>
  <c r="U16" i="167"/>
  <c r="AC16" i="167"/>
  <c r="S18" i="154"/>
  <c r="AA18" i="154" s="1"/>
  <c r="AC18" i="154" s="1"/>
  <c r="AC25" i="167"/>
  <c r="AC16" i="166"/>
  <c r="S18" i="231"/>
  <c r="AA18" i="231" s="1"/>
  <c r="S27" i="172"/>
  <c r="AA27" i="172" s="1"/>
  <c r="AC27" i="172" s="1"/>
  <c r="U17" i="167"/>
  <c r="AC14" i="168"/>
  <c r="S27" i="171"/>
  <c r="AA27" i="171" s="1"/>
  <c r="AC27" i="171" s="1"/>
  <c r="S27" i="165"/>
  <c r="U27" i="165" s="1"/>
  <c r="AC26" i="232"/>
  <c r="U15" i="170"/>
  <c r="U25" i="228"/>
  <c r="S13" i="173"/>
  <c r="AA13" i="173" s="1"/>
  <c r="AC13" i="173" s="1"/>
  <c r="U14" i="168"/>
  <c r="AC14" i="171"/>
  <c r="S13" i="171"/>
  <c r="AA13" i="171" s="1"/>
  <c r="U26" i="232"/>
  <c r="AC27" i="167"/>
  <c r="Q13" i="231"/>
  <c r="U14" i="166"/>
  <c r="S13" i="165"/>
  <c r="U13" i="165" s="1"/>
  <c r="S18" i="159"/>
  <c r="AE18" i="159" s="1"/>
  <c r="AG18" i="159" s="1"/>
  <c r="U17" i="166"/>
  <c r="AC17" i="171"/>
  <c r="Q27" i="167"/>
  <c r="U16" i="170"/>
  <c r="AC17" i="231"/>
  <c r="AC14" i="166"/>
  <c r="Q30" i="165"/>
  <c r="U17" i="231"/>
  <c r="S18" i="160"/>
  <c r="U18" i="160" s="1"/>
  <c r="Q29" i="171"/>
  <c r="U14" i="167"/>
  <c r="AC16" i="170"/>
  <c r="AE42" i="159"/>
  <c r="AG42" i="159" s="1"/>
  <c r="AG47" i="159" s="1"/>
  <c r="Q27" i="170"/>
  <c r="S13" i="166"/>
  <c r="AA13" i="166" s="1"/>
  <c r="AC13" i="166" s="1"/>
  <c r="Q29" i="167"/>
  <c r="AC17" i="172"/>
  <c r="Q29" i="172"/>
  <c r="U16" i="166"/>
  <c r="AC16" i="173"/>
  <c r="AC16" i="171"/>
  <c r="AC25" i="169"/>
  <c r="U15" i="154"/>
  <c r="S11" i="231"/>
  <c r="AA11" i="231" s="1"/>
  <c r="S13" i="170"/>
  <c r="AA13" i="170" s="1"/>
  <c r="B9" i="33"/>
  <c r="J9" i="33" s="1"/>
  <c r="AC27" i="166"/>
  <c r="S18" i="167"/>
  <c r="AA18" i="167" s="1"/>
  <c r="AC18" i="167" s="1"/>
  <c r="C39" i="173"/>
  <c r="AC17" i="169"/>
  <c r="U14" i="170"/>
  <c r="S28" i="156"/>
  <c r="U17" i="168"/>
  <c r="Z9" i="168"/>
  <c r="S8" i="171"/>
  <c r="AA8" i="171" s="1"/>
  <c r="AC8" i="171" s="1"/>
  <c r="Q41" i="171"/>
  <c r="AC15" i="156"/>
  <c r="Q30" i="173"/>
  <c r="AC14" i="170"/>
  <c r="AC25" i="172"/>
  <c r="S18" i="156"/>
  <c r="AA18" i="156" s="1"/>
  <c r="AC18" i="156" s="1"/>
  <c r="Q29" i="169"/>
  <c r="C41" i="228"/>
  <c r="E41" i="228" s="1"/>
  <c r="E45" i="228" s="1"/>
  <c r="S9" i="231"/>
  <c r="AA9" i="231" s="1"/>
  <c r="O41" i="232"/>
  <c r="Q41" i="232" s="1"/>
  <c r="Q47" i="232" s="1"/>
  <c r="C39" i="165"/>
  <c r="E39" i="165" s="1"/>
  <c r="E41" i="165" s="1"/>
  <c r="Q29" i="165"/>
  <c r="AC25" i="171"/>
  <c r="Q27" i="169"/>
  <c r="S27" i="231"/>
  <c r="AA27" i="231" s="1"/>
  <c r="AC27" i="231" s="1"/>
  <c r="S18" i="165"/>
  <c r="U18" i="165" s="1"/>
  <c r="Q30" i="172"/>
  <c r="S20" i="173"/>
  <c r="AA20" i="173" s="1"/>
  <c r="AC25" i="173"/>
  <c r="S24" i="173"/>
  <c r="AA24" i="173" s="1"/>
  <c r="S23" i="169"/>
  <c r="AA23" i="169" s="1"/>
  <c r="O41" i="162"/>
  <c r="Q41" i="162" s="1"/>
  <c r="Q47" i="162" s="1"/>
  <c r="S19" i="232"/>
  <c r="AA19" i="232" s="1"/>
  <c r="AC19" i="232" s="1"/>
  <c r="U14" i="156"/>
  <c r="O40" i="159"/>
  <c r="Q40" i="159" s="1"/>
  <c r="Q45" i="159" s="1"/>
  <c r="S22" i="169"/>
  <c r="AA22" i="169" s="1"/>
  <c r="S19" i="172"/>
  <c r="AA19" i="172" s="1"/>
  <c r="S19" i="165"/>
  <c r="AA19" i="165" s="1"/>
  <c r="O39" i="231"/>
  <c r="Q39" i="231" s="1"/>
  <c r="Q41" i="231" s="1"/>
  <c r="S20" i="167"/>
  <c r="AA20" i="167" s="1"/>
  <c r="S19" i="166"/>
  <c r="AA19" i="166" s="1"/>
  <c r="S19" i="167"/>
  <c r="AA19" i="167" s="1"/>
  <c r="S19" i="231"/>
  <c r="AA19" i="231" s="1"/>
  <c r="S26" i="173"/>
  <c r="AA26" i="173" s="1"/>
  <c r="S24" i="168"/>
  <c r="AA24" i="168" s="1"/>
  <c r="O40" i="162"/>
  <c r="S8" i="173"/>
  <c r="AA8" i="173" s="1"/>
  <c r="AC8" i="173" s="1"/>
  <c r="U14" i="171"/>
  <c r="S19" i="173"/>
  <c r="AA19" i="173" s="1"/>
  <c r="S20" i="172"/>
  <c r="AA20" i="172" s="1"/>
  <c r="S20" i="169"/>
  <c r="AA20" i="169" s="1"/>
  <c r="S20" i="171"/>
  <c r="AA20" i="171" s="1"/>
  <c r="S18" i="173"/>
  <c r="AA18" i="173" s="1"/>
  <c r="AC18" i="173" s="1"/>
  <c r="U16" i="231"/>
  <c r="Q30" i="169"/>
  <c r="S26" i="170"/>
  <c r="AA26" i="170" s="1"/>
  <c r="U25" i="168"/>
  <c r="U15" i="232"/>
  <c r="C39" i="171"/>
  <c r="E39" i="171" s="1"/>
  <c r="E41" i="171" s="1"/>
  <c r="O41" i="160"/>
  <c r="S21" i="231"/>
  <c r="AA21" i="231" s="1"/>
  <c r="U25" i="170"/>
  <c r="S20" i="165"/>
  <c r="U20" i="165" s="1"/>
  <c r="AC16" i="231"/>
  <c r="S26" i="166"/>
  <c r="AA26" i="166" s="1"/>
  <c r="AC15" i="232"/>
  <c r="AG15" i="159"/>
  <c r="S24" i="169"/>
  <c r="AA24" i="169" s="1"/>
  <c r="E24" i="168"/>
  <c r="S22" i="172"/>
  <c r="AA22" i="172" s="1"/>
  <c r="S19" i="170"/>
  <c r="AA19" i="170" s="1"/>
  <c r="C44" i="232"/>
  <c r="E44" i="232" s="1"/>
  <c r="E50" i="232" s="1"/>
  <c r="S23" i="167"/>
  <c r="AA23" i="167" s="1"/>
  <c r="C40" i="200"/>
  <c r="E40" i="200" s="1"/>
  <c r="E46" i="200" s="1"/>
  <c r="C44" i="91"/>
  <c r="E44" i="91" s="1"/>
  <c r="S24" i="165"/>
  <c r="AA24" i="165" s="1"/>
  <c r="S24" i="231"/>
  <c r="AA24" i="231" s="1"/>
  <c r="S22" i="173"/>
  <c r="AA22" i="173" s="1"/>
  <c r="AA27" i="170"/>
  <c r="AC27" i="170" s="1"/>
  <c r="U27" i="170"/>
  <c r="AA27" i="169"/>
  <c r="AC27" i="169" s="1"/>
  <c r="U27" i="169"/>
  <c r="AA15" i="169"/>
  <c r="AC15" i="169" s="1"/>
  <c r="U15" i="169"/>
  <c r="Z10" i="169"/>
  <c r="Z10" i="231"/>
  <c r="Z29" i="231"/>
  <c r="AC29" i="231" s="1"/>
  <c r="U29" i="231"/>
  <c r="Z22" i="172"/>
  <c r="L9" i="201"/>
  <c r="B9" i="201"/>
  <c r="L9" i="174"/>
  <c r="B9" i="174"/>
  <c r="S26" i="154"/>
  <c r="I26" i="154"/>
  <c r="S27" i="91"/>
  <c r="U27" i="91" s="1"/>
  <c r="E27" i="91"/>
  <c r="S26" i="156"/>
  <c r="E26" i="156"/>
  <c r="I9" i="170"/>
  <c r="S9" i="170"/>
  <c r="I9" i="173"/>
  <c r="S9" i="173"/>
  <c r="O39" i="159"/>
  <c r="Z23" i="231"/>
  <c r="Z23" i="169"/>
  <c r="U23" i="169"/>
  <c r="S29" i="160"/>
  <c r="U29" i="160" s="1"/>
  <c r="Q29" i="160"/>
  <c r="S30" i="200"/>
  <c r="U30" i="200" s="1"/>
  <c r="Q30" i="200"/>
  <c r="S21" i="173"/>
  <c r="AA21" i="173" s="1"/>
  <c r="S21" i="165"/>
  <c r="U21" i="165" s="1"/>
  <c r="Z21" i="169"/>
  <c r="P9" i="191"/>
  <c r="J14" i="33"/>
  <c r="S19" i="169"/>
  <c r="AA19" i="169" s="1"/>
  <c r="Z19" i="168"/>
  <c r="S9" i="156"/>
  <c r="I9" i="156"/>
  <c r="I9" i="160"/>
  <c r="S9" i="160"/>
  <c r="U9" i="160" s="1"/>
  <c r="S10" i="232"/>
  <c r="G42" i="232"/>
  <c r="I42" i="232" s="1"/>
  <c r="I48" i="232" s="1"/>
  <c r="I10" i="232"/>
  <c r="E28" i="169"/>
  <c r="S28" i="169"/>
  <c r="AA28" i="169" s="1"/>
  <c r="E28" i="167"/>
  <c r="S28" i="167"/>
  <c r="AA28" i="167" s="1"/>
  <c r="S28" i="231"/>
  <c r="AA28" i="231" s="1"/>
  <c r="O39" i="170"/>
  <c r="Q39" i="170" s="1"/>
  <c r="Q41" i="170" s="1"/>
  <c r="K43" i="91"/>
  <c r="M43" i="91" s="1"/>
  <c r="M49" i="91" s="1"/>
  <c r="Z12" i="167"/>
  <c r="O42" i="200"/>
  <c r="Q42" i="200" s="1"/>
  <c r="Q48" i="200" s="1"/>
  <c r="Q9" i="200"/>
  <c r="O42" i="162"/>
  <c r="Q42" i="162" s="1"/>
  <c r="Q48" i="162" s="1"/>
  <c r="Q9" i="162"/>
  <c r="B7" i="33"/>
  <c r="Z7" i="165"/>
  <c r="R39" i="165"/>
  <c r="C39" i="228"/>
  <c r="E39" i="228" s="1"/>
  <c r="E43" i="228" s="1"/>
  <c r="J21" i="233"/>
  <c r="J10" i="234"/>
  <c r="J9" i="224"/>
  <c r="J13" i="233"/>
  <c r="Z30" i="173"/>
  <c r="AC30" i="173" s="1"/>
  <c r="U30" i="173"/>
  <c r="S20" i="170"/>
  <c r="AA20" i="170" s="1"/>
  <c r="U27" i="166"/>
  <c r="I11" i="167"/>
  <c r="S11" i="167"/>
  <c r="AA11" i="167" s="1"/>
  <c r="I11" i="165"/>
  <c r="S11" i="165"/>
  <c r="U11" i="165" s="1"/>
  <c r="I11" i="166"/>
  <c r="S11" i="166"/>
  <c r="AA11" i="166" s="1"/>
  <c r="AA15" i="166"/>
  <c r="AC15" i="166" s="1"/>
  <c r="U15" i="166"/>
  <c r="Z30" i="156"/>
  <c r="AC30" i="156" s="1"/>
  <c r="U30" i="156"/>
  <c r="Z10" i="173"/>
  <c r="Z29" i="172"/>
  <c r="AC29" i="172" s="1"/>
  <c r="U29" i="172"/>
  <c r="Z29" i="166"/>
  <c r="AC29" i="166" s="1"/>
  <c r="U29" i="166"/>
  <c r="Z24" i="169"/>
  <c r="Z40" i="156"/>
  <c r="I19" i="191"/>
  <c r="I9" i="221"/>
  <c r="I12" i="191"/>
  <c r="I9" i="192"/>
  <c r="I9" i="231"/>
  <c r="S20" i="159"/>
  <c r="E20" i="159"/>
  <c r="S21" i="162"/>
  <c r="U21" i="162" s="1"/>
  <c r="E21" i="162"/>
  <c r="R31" i="160"/>
  <c r="U31" i="160" s="1"/>
  <c r="Q31" i="160"/>
  <c r="R31" i="154"/>
  <c r="Q31" i="154"/>
  <c r="O39" i="228"/>
  <c r="S8" i="231"/>
  <c r="AA8" i="231" s="1"/>
  <c r="S23" i="165"/>
  <c r="U23" i="165" s="1"/>
  <c r="S23" i="173"/>
  <c r="AA23" i="173" s="1"/>
  <c r="S23" i="231"/>
  <c r="AA23" i="231" s="1"/>
  <c r="E23" i="173"/>
  <c r="B8" i="191"/>
  <c r="G19" i="229"/>
  <c r="G12" i="229"/>
  <c r="G9" i="230"/>
  <c r="U17" i="171"/>
  <c r="E19" i="170"/>
  <c r="Q8" i="231"/>
  <c r="K44" i="200"/>
  <c r="M44" i="200" s="1"/>
  <c r="M50" i="200" s="1"/>
  <c r="K39" i="167"/>
  <c r="M39" i="167" s="1"/>
  <c r="M41" i="167" s="1"/>
  <c r="K39" i="168"/>
  <c r="M39" i="168" s="1"/>
  <c r="M41" i="168" s="1"/>
  <c r="K41" i="154"/>
  <c r="M41" i="154" s="1"/>
  <c r="Z12" i="166"/>
  <c r="C40" i="162"/>
  <c r="E40" i="162" s="1"/>
  <c r="E46" i="162" s="1"/>
  <c r="C40" i="159"/>
  <c r="E40" i="159" s="1"/>
  <c r="E45" i="159" s="1"/>
  <c r="AA16" i="165"/>
  <c r="AC16" i="165" s="1"/>
  <c r="C16" i="33"/>
  <c r="K16" i="33" s="1"/>
  <c r="Q13" i="156"/>
  <c r="S13" i="156"/>
  <c r="Q13" i="228"/>
  <c r="S13" i="228"/>
  <c r="B9" i="233"/>
  <c r="S26" i="169"/>
  <c r="AA26" i="169" s="1"/>
  <c r="S26" i="231"/>
  <c r="AA26" i="231" s="1"/>
  <c r="Q27" i="160"/>
  <c r="S27" i="160"/>
  <c r="U27" i="160" s="1"/>
  <c r="Q28" i="91"/>
  <c r="S28" i="91"/>
  <c r="U28" i="91" s="1"/>
  <c r="Z20" i="169"/>
  <c r="B26" i="33"/>
  <c r="Z26" i="165"/>
  <c r="U27" i="167"/>
  <c r="Z11" i="231"/>
  <c r="S19" i="200"/>
  <c r="U19" i="200" s="1"/>
  <c r="Z10" i="168"/>
  <c r="Z24" i="172"/>
  <c r="AC24" i="172" s="1"/>
  <c r="U24" i="172"/>
  <c r="Z22" i="231"/>
  <c r="AC17" i="166"/>
  <c r="O40" i="91"/>
  <c r="O39" i="156"/>
  <c r="S8" i="168"/>
  <c r="AA8" i="168" s="1"/>
  <c r="S8" i="166"/>
  <c r="AA8" i="166" s="1"/>
  <c r="Z23" i="168"/>
  <c r="I11" i="200"/>
  <c r="S11" i="200"/>
  <c r="U11" i="200" s="1"/>
  <c r="S10" i="228"/>
  <c r="I10" i="228"/>
  <c r="Z21" i="173"/>
  <c r="S24" i="160"/>
  <c r="U24" i="160" s="1"/>
  <c r="E24" i="160"/>
  <c r="S25" i="162"/>
  <c r="U25" i="162" s="1"/>
  <c r="E25" i="162"/>
  <c r="S24" i="159"/>
  <c r="E24" i="159"/>
  <c r="S24" i="156"/>
  <c r="E24" i="156"/>
  <c r="S23" i="200"/>
  <c r="U23" i="200" s="1"/>
  <c r="E23" i="200"/>
  <c r="I13" i="91"/>
  <c r="S13" i="91"/>
  <c r="U13" i="91" s="1"/>
  <c r="S12" i="156"/>
  <c r="I12" i="156"/>
  <c r="S13" i="232"/>
  <c r="I13" i="232"/>
  <c r="Z19" i="169"/>
  <c r="U25" i="172"/>
  <c r="Z28" i="231"/>
  <c r="U13" i="168"/>
  <c r="I12" i="172"/>
  <c r="S12" i="172"/>
  <c r="AA12" i="172" s="1"/>
  <c r="I12" i="173"/>
  <c r="S12" i="173"/>
  <c r="AA12" i="173" s="1"/>
  <c r="Z12" i="171"/>
  <c r="S19" i="160"/>
  <c r="U19" i="160" s="1"/>
  <c r="E19" i="160"/>
  <c r="I20" i="91"/>
  <c r="G44" i="91"/>
  <c r="I44" i="91" s="1"/>
  <c r="E19" i="156"/>
  <c r="S19" i="156"/>
  <c r="S19" i="228"/>
  <c r="E19" i="228"/>
  <c r="M8" i="160"/>
  <c r="S8" i="160"/>
  <c r="U8" i="160" s="1"/>
  <c r="K42" i="162"/>
  <c r="M42" i="162" s="1"/>
  <c r="M48" i="162" s="1"/>
  <c r="M9" i="162"/>
  <c r="S9" i="162"/>
  <c r="M8" i="228"/>
  <c r="S8" i="228"/>
  <c r="G39" i="167"/>
  <c r="I39" i="167" s="1"/>
  <c r="I41" i="167" s="1"/>
  <c r="S7" i="167"/>
  <c r="U7" i="167" s="1"/>
  <c r="G39" i="173"/>
  <c r="I39" i="173" s="1"/>
  <c r="I41" i="173" s="1"/>
  <c r="S7" i="173"/>
  <c r="G39" i="231"/>
  <c r="I39" i="231" s="1"/>
  <c r="I41" i="231" s="1"/>
  <c r="S7" i="231"/>
  <c r="U7" i="231" s="1"/>
  <c r="Z7" i="173"/>
  <c r="U7" i="173"/>
  <c r="R39" i="173"/>
  <c r="AC25" i="168"/>
  <c r="C39" i="156"/>
  <c r="E39" i="156" s="1"/>
  <c r="E44" i="156" s="1"/>
  <c r="Q30" i="167"/>
  <c r="B11" i="33"/>
  <c r="Z11" i="165"/>
  <c r="S19" i="91"/>
  <c r="U19" i="91" s="1"/>
  <c r="I10" i="172"/>
  <c r="S10" i="172"/>
  <c r="AA10" i="172" s="1"/>
  <c r="I10" i="166"/>
  <c r="S10" i="166"/>
  <c r="AA10" i="166" s="1"/>
  <c r="Z10" i="172"/>
  <c r="U10" i="172"/>
  <c r="Q29" i="173"/>
  <c r="S22" i="200"/>
  <c r="U22" i="200" s="1"/>
  <c r="E22" i="200"/>
  <c r="S21" i="154"/>
  <c r="I21" i="154"/>
  <c r="S22" i="162"/>
  <c r="U22" i="162" s="1"/>
  <c r="E22" i="162"/>
  <c r="S22" i="91"/>
  <c r="U22" i="91" s="1"/>
  <c r="E22" i="91"/>
  <c r="S22" i="232"/>
  <c r="E22" i="232"/>
  <c r="S24" i="166"/>
  <c r="AA24" i="166" s="1"/>
  <c r="S24" i="167"/>
  <c r="AA24" i="167" s="1"/>
  <c r="S24" i="171"/>
  <c r="AA24" i="171" s="1"/>
  <c r="Z24" i="173"/>
  <c r="Z24" i="171"/>
  <c r="Z24" i="170"/>
  <c r="S22" i="170"/>
  <c r="AA22" i="170" s="1"/>
  <c r="Z22" i="173"/>
  <c r="AC17" i="167"/>
  <c r="S27" i="168"/>
  <c r="S27" i="173"/>
  <c r="O39" i="154"/>
  <c r="S18" i="169"/>
  <c r="U16" i="232"/>
  <c r="Z19" i="231"/>
  <c r="O41" i="159"/>
  <c r="S23" i="159"/>
  <c r="E23" i="159"/>
  <c r="S24" i="200"/>
  <c r="U24" i="200" s="1"/>
  <c r="E24" i="200"/>
  <c r="S23" i="228"/>
  <c r="E23" i="228"/>
  <c r="Z28" i="169"/>
  <c r="O41" i="154"/>
  <c r="Q11" i="154"/>
  <c r="AC14" i="172"/>
  <c r="Z12" i="231"/>
  <c r="Z7" i="231"/>
  <c r="R39" i="231"/>
  <c r="U16" i="168"/>
  <c r="AC15" i="154"/>
  <c r="S29" i="162"/>
  <c r="U29" i="162" s="1"/>
  <c r="E29" i="162"/>
  <c r="S28" i="160"/>
  <c r="U28" i="160" s="1"/>
  <c r="E28" i="160"/>
  <c r="G43" i="91"/>
  <c r="I43" i="91" s="1"/>
  <c r="I49" i="91" s="1"/>
  <c r="S12" i="91"/>
  <c r="I12" i="91"/>
  <c r="S11" i="156"/>
  <c r="I11" i="156"/>
  <c r="K39" i="154"/>
  <c r="M39" i="154" s="1"/>
  <c r="M43" i="154" s="1"/>
  <c r="K40" i="154"/>
  <c r="M40" i="154" s="1"/>
  <c r="M44" i="154" s="1"/>
  <c r="M7" i="154"/>
  <c r="K40" i="228"/>
  <c r="M40" i="228" s="1"/>
  <c r="M44" i="228" s="1"/>
  <c r="K39" i="228"/>
  <c r="M39" i="228" s="1"/>
  <c r="M43" i="228" s="1"/>
  <c r="M7" i="228"/>
  <c r="AC14" i="169"/>
  <c r="Z30" i="231"/>
  <c r="AC30" i="231" s="1"/>
  <c r="U30" i="231"/>
  <c r="Q30" i="168"/>
  <c r="E20" i="170"/>
  <c r="U25" i="166"/>
  <c r="Q30" i="166"/>
  <c r="Z26" i="166"/>
  <c r="G40" i="159"/>
  <c r="I40" i="159" s="1"/>
  <c r="I45" i="159" s="1"/>
  <c r="G39" i="159"/>
  <c r="I39" i="159" s="1"/>
  <c r="I44" i="159" s="1"/>
  <c r="S7" i="159"/>
  <c r="I7" i="159"/>
  <c r="G41" i="162"/>
  <c r="I41" i="162" s="1"/>
  <c r="I47" i="162" s="1"/>
  <c r="G40" i="162"/>
  <c r="I40" i="162" s="1"/>
  <c r="I46" i="162" s="1"/>
  <c r="S7" i="162"/>
  <c r="I7" i="162"/>
  <c r="G40" i="232"/>
  <c r="I40" i="232" s="1"/>
  <c r="I46" i="232" s="1"/>
  <c r="G41" i="232"/>
  <c r="I41" i="232" s="1"/>
  <c r="I47" i="232" s="1"/>
  <c r="S7" i="232"/>
  <c r="I7" i="232"/>
  <c r="Z20" i="165"/>
  <c r="B20" i="33"/>
  <c r="K40" i="41"/>
  <c r="AC13" i="171"/>
  <c r="U13" i="169"/>
  <c r="K44" i="91"/>
  <c r="M44" i="91" s="1"/>
  <c r="N33" i="79"/>
  <c r="Q33" i="236"/>
  <c r="Z24" i="167"/>
  <c r="I9" i="168"/>
  <c r="S9" i="168"/>
  <c r="I9" i="169"/>
  <c r="S9" i="169"/>
  <c r="AA17" i="232"/>
  <c r="AC17" i="232" s="1"/>
  <c r="U17" i="232"/>
  <c r="S30" i="91"/>
  <c r="U30" i="91" s="1"/>
  <c r="Q30" i="91"/>
  <c r="S29" i="228"/>
  <c r="Q29" i="228"/>
  <c r="S21" i="169"/>
  <c r="AA21" i="169" s="1"/>
  <c r="S19" i="171"/>
  <c r="AA19" i="171" s="1"/>
  <c r="S19" i="168"/>
  <c r="AA19" i="168" s="1"/>
  <c r="E19" i="165"/>
  <c r="E19" i="172"/>
  <c r="S9" i="154"/>
  <c r="I9" i="154"/>
  <c r="I10" i="91"/>
  <c r="S10" i="91"/>
  <c r="U10" i="91" s="1"/>
  <c r="G42" i="91"/>
  <c r="I42" i="91" s="1"/>
  <c r="I48" i="91" s="1"/>
  <c r="E28" i="170"/>
  <c r="S28" i="170"/>
  <c r="AA28" i="170" s="1"/>
  <c r="E28" i="165"/>
  <c r="S28" i="165"/>
  <c r="E28" i="168"/>
  <c r="S28" i="168"/>
  <c r="AA28" i="168" s="1"/>
  <c r="G9" i="193"/>
  <c r="I40" i="41"/>
  <c r="I45" i="41" s="1"/>
  <c r="Z12" i="173"/>
  <c r="Z7" i="168"/>
  <c r="R39" i="168"/>
  <c r="AC25" i="170"/>
  <c r="Z26" i="172"/>
  <c r="I11" i="172"/>
  <c r="S11" i="172"/>
  <c r="AA11" i="172" s="1"/>
  <c r="I11" i="170"/>
  <c r="S11" i="170"/>
  <c r="AA11" i="170" s="1"/>
  <c r="Z10" i="171"/>
  <c r="B29" i="33"/>
  <c r="Z29" i="168"/>
  <c r="AC29" i="168" s="1"/>
  <c r="U29" i="168"/>
  <c r="Z24" i="231"/>
  <c r="B22" i="33"/>
  <c r="Z22" i="165"/>
  <c r="Z22" i="166"/>
  <c r="B8" i="187"/>
  <c r="C39" i="169"/>
  <c r="E39" i="169" s="1"/>
  <c r="E41" i="169" s="1"/>
  <c r="S21" i="91"/>
  <c r="U21" i="91" s="1"/>
  <c r="E21" i="91"/>
  <c r="S20" i="154"/>
  <c r="I20" i="154"/>
  <c r="S21" i="232"/>
  <c r="E21" i="232"/>
  <c r="R32" i="200"/>
  <c r="Q32" i="200"/>
  <c r="R31" i="156"/>
  <c r="Q31" i="156"/>
  <c r="S8" i="169"/>
  <c r="S23" i="171"/>
  <c r="AA23" i="171" s="1"/>
  <c r="S23" i="170"/>
  <c r="AA23" i="170" s="1"/>
  <c r="Z23" i="173"/>
  <c r="AA16" i="228"/>
  <c r="AC16" i="228" s="1"/>
  <c r="U16" i="228"/>
  <c r="Z21" i="231"/>
  <c r="Z21" i="168"/>
  <c r="Z40" i="154"/>
  <c r="I19" i="187"/>
  <c r="I9" i="194"/>
  <c r="I12" i="187"/>
  <c r="Z19" i="170"/>
  <c r="Z8" i="231"/>
  <c r="J16" i="33"/>
  <c r="K44" i="232"/>
  <c r="M44" i="232" s="1"/>
  <c r="M50" i="232" s="1"/>
  <c r="Z42" i="232"/>
  <c r="I21" i="233"/>
  <c r="I10" i="234"/>
  <c r="I9" i="224"/>
  <c r="I13" i="233"/>
  <c r="Z28" i="172"/>
  <c r="J13" i="33"/>
  <c r="K39" i="165"/>
  <c r="M39" i="165" s="1"/>
  <c r="M41" i="165" s="1"/>
  <c r="K39" i="172"/>
  <c r="M39" i="172" s="1"/>
  <c r="M41" i="172" s="1"/>
  <c r="K39" i="171"/>
  <c r="M39" i="171" s="1"/>
  <c r="M41" i="171" s="1"/>
  <c r="Z40" i="228"/>
  <c r="Z12" i="169"/>
  <c r="C40" i="232"/>
  <c r="E40" i="232" s="1"/>
  <c r="E46" i="232" s="1"/>
  <c r="C44" i="162"/>
  <c r="E44" i="162" s="1"/>
  <c r="E50" i="162" s="1"/>
  <c r="C39" i="159"/>
  <c r="E39" i="159" s="1"/>
  <c r="E44" i="159" s="1"/>
  <c r="O44" i="200"/>
  <c r="Q14" i="200"/>
  <c r="S14" i="200"/>
  <c r="Q13" i="154"/>
  <c r="S13" i="154"/>
  <c r="O44" i="232"/>
  <c r="Q14" i="232"/>
  <c r="S14" i="232"/>
  <c r="K39" i="41"/>
  <c r="M39" i="41" s="1"/>
  <c r="M44" i="41" s="1"/>
  <c r="U30" i="172"/>
  <c r="Z30" i="172"/>
  <c r="AC30" i="172" s="1"/>
  <c r="S26" i="171"/>
  <c r="AA26" i="171" s="1"/>
  <c r="S26" i="165"/>
  <c r="S26" i="167"/>
  <c r="AA26" i="167" s="1"/>
  <c r="Z26" i="168"/>
  <c r="Q28" i="162"/>
  <c r="S28" i="162"/>
  <c r="U28" i="162" s="1"/>
  <c r="Q27" i="159"/>
  <c r="S27" i="159"/>
  <c r="E20" i="167"/>
  <c r="U25" i="231"/>
  <c r="I11" i="231"/>
  <c r="Z10" i="167"/>
  <c r="Z29" i="171"/>
  <c r="AC29" i="171" s="1"/>
  <c r="U29" i="171"/>
  <c r="Z22" i="170"/>
  <c r="Z22" i="169"/>
  <c r="AC22" i="169" s="1"/>
  <c r="C39" i="231"/>
  <c r="E39" i="231" s="1"/>
  <c r="E41" i="231" s="1"/>
  <c r="C39" i="168"/>
  <c r="E39" i="168" s="1"/>
  <c r="E41" i="168" s="1"/>
  <c r="O41" i="91"/>
  <c r="Q41" i="91" s="1"/>
  <c r="Q47" i="91" s="1"/>
  <c r="F19" i="229"/>
  <c r="F12" i="229"/>
  <c r="F9" i="230"/>
  <c r="AC42" i="159"/>
  <c r="AC47" i="159" s="1"/>
  <c r="L9" i="191"/>
  <c r="M9" i="191"/>
  <c r="AC39" i="159"/>
  <c r="AC44" i="159" s="1"/>
  <c r="I10" i="160"/>
  <c r="S10" i="160"/>
  <c r="U10" i="160" s="1"/>
  <c r="I10" i="154"/>
  <c r="S10" i="154"/>
  <c r="S11" i="232"/>
  <c r="I11" i="232"/>
  <c r="S24" i="154"/>
  <c r="I24" i="154"/>
  <c r="S25" i="200"/>
  <c r="U25" i="200" s="1"/>
  <c r="E25" i="200"/>
  <c r="S25" i="232"/>
  <c r="E25" i="232"/>
  <c r="S22" i="159"/>
  <c r="E22" i="159"/>
  <c r="S22" i="160"/>
  <c r="U22" i="160" s="1"/>
  <c r="E22" i="160"/>
  <c r="F19" i="187"/>
  <c r="F9" i="194"/>
  <c r="F12" i="187"/>
  <c r="I13" i="200"/>
  <c r="S13" i="200"/>
  <c r="U13" i="200" s="1"/>
  <c r="I12" i="159"/>
  <c r="S12" i="159"/>
  <c r="E19" i="167"/>
  <c r="O41" i="156"/>
  <c r="AA15" i="172"/>
  <c r="AC15" i="172" s="1"/>
  <c r="U15" i="172"/>
  <c r="Z28" i="170"/>
  <c r="O39" i="173"/>
  <c r="Q39" i="173" s="1"/>
  <c r="Q41" i="173" s="1"/>
  <c r="I12" i="166"/>
  <c r="S12" i="166"/>
  <c r="AA12" i="166" s="1"/>
  <c r="I12" i="171"/>
  <c r="S12" i="171"/>
  <c r="AA12" i="171" s="1"/>
  <c r="Z12" i="170"/>
  <c r="S20" i="162"/>
  <c r="U20" i="162" s="1"/>
  <c r="E20" i="162"/>
  <c r="S19" i="159"/>
  <c r="E19" i="159"/>
  <c r="K42" i="200"/>
  <c r="M42" i="200" s="1"/>
  <c r="M48" i="200" s="1"/>
  <c r="M9" i="200"/>
  <c r="S9" i="200"/>
  <c r="K42" i="91"/>
  <c r="M42" i="91" s="1"/>
  <c r="M48" i="91" s="1"/>
  <c r="M9" i="91"/>
  <c r="S9" i="91"/>
  <c r="M8" i="232"/>
  <c r="S8" i="232"/>
  <c r="G39" i="166"/>
  <c r="I39" i="166" s="1"/>
  <c r="I41" i="166" s="1"/>
  <c r="S7" i="166"/>
  <c r="U7" i="166" s="1"/>
  <c r="G39" i="165"/>
  <c r="I39" i="165" s="1"/>
  <c r="I41" i="165" s="1"/>
  <c r="S7" i="165"/>
  <c r="U7" i="165" s="1"/>
  <c r="Z7" i="170"/>
  <c r="R39" i="170"/>
  <c r="U30" i="167"/>
  <c r="Z30" i="167"/>
  <c r="AC30" i="167" s="1"/>
  <c r="U31" i="232"/>
  <c r="Z31" i="232"/>
  <c r="AC31" i="232" s="1"/>
  <c r="U30" i="154"/>
  <c r="Z30" i="154"/>
  <c r="AC30" i="154" s="1"/>
  <c r="I10" i="168"/>
  <c r="S10" i="168"/>
  <c r="AA10" i="168" s="1"/>
  <c r="AC10" i="168" s="1"/>
  <c r="I10" i="170"/>
  <c r="S10" i="170"/>
  <c r="AA10" i="170" s="1"/>
  <c r="Z10" i="170"/>
  <c r="Z29" i="173"/>
  <c r="AC29" i="173" s="1"/>
  <c r="U29" i="173"/>
  <c r="G41" i="160"/>
  <c r="I41" i="160" s="1"/>
  <c r="I46" i="160" s="1"/>
  <c r="I21" i="160"/>
  <c r="K41" i="156"/>
  <c r="M41" i="156" s="1"/>
  <c r="M46" i="156" s="1"/>
  <c r="M21" i="156"/>
  <c r="S21" i="159"/>
  <c r="C41" i="159"/>
  <c r="E41" i="159" s="1"/>
  <c r="E46" i="159" s="1"/>
  <c r="E21" i="159"/>
  <c r="C41" i="156"/>
  <c r="E41" i="156" s="1"/>
  <c r="E46" i="156" s="1"/>
  <c r="S21" i="156"/>
  <c r="E21" i="156"/>
  <c r="E24" i="165"/>
  <c r="E9" i="223"/>
  <c r="E12" i="177"/>
  <c r="E19" i="177"/>
  <c r="E9" i="180"/>
  <c r="C39" i="170"/>
  <c r="E39" i="170" s="1"/>
  <c r="E41" i="170" s="1"/>
  <c r="O40" i="200"/>
  <c r="O40" i="154"/>
  <c r="Q40" i="154" s="1"/>
  <c r="S8" i="165"/>
  <c r="E23" i="231"/>
  <c r="Z23" i="166"/>
  <c r="Z23" i="172"/>
  <c r="E21" i="231"/>
  <c r="Z21" i="172"/>
  <c r="Z21" i="170"/>
  <c r="AC16" i="232"/>
  <c r="U17" i="173"/>
  <c r="E39" i="173"/>
  <c r="E41" i="173" s="1"/>
  <c r="Z19" i="171"/>
  <c r="J27" i="33"/>
  <c r="AA15" i="167"/>
  <c r="AC15" i="167" s="1"/>
  <c r="U15" i="167"/>
  <c r="S24" i="162"/>
  <c r="U24" i="162" s="1"/>
  <c r="E24" i="162"/>
  <c r="S24" i="91"/>
  <c r="U24" i="91" s="1"/>
  <c r="E24" i="91"/>
  <c r="S24" i="232"/>
  <c r="E24" i="232"/>
  <c r="D9" i="233"/>
  <c r="Z28" i="166"/>
  <c r="O41" i="228"/>
  <c r="Q11" i="228"/>
  <c r="M7" i="168"/>
  <c r="U14" i="172"/>
  <c r="K43" i="232"/>
  <c r="M43" i="232" s="1"/>
  <c r="M49" i="232" s="1"/>
  <c r="U25" i="171"/>
  <c r="AC16" i="168"/>
  <c r="AA14" i="154"/>
  <c r="AC14" i="154" s="1"/>
  <c r="U14" i="154"/>
  <c r="S28" i="154"/>
  <c r="I28" i="154"/>
  <c r="S29" i="200"/>
  <c r="U29" i="200" s="1"/>
  <c r="E29" i="200"/>
  <c r="S28" i="228"/>
  <c r="E28" i="228"/>
  <c r="S29" i="232"/>
  <c r="E29" i="232"/>
  <c r="G41" i="154"/>
  <c r="I41" i="154" s="1"/>
  <c r="S11" i="154"/>
  <c r="I11" i="154"/>
  <c r="I11" i="160"/>
  <c r="S11" i="160"/>
  <c r="U11" i="160" s="1"/>
  <c r="K39" i="160"/>
  <c r="M39" i="160" s="1"/>
  <c r="M44" i="160" s="1"/>
  <c r="K40" i="160"/>
  <c r="M40" i="160" s="1"/>
  <c r="M45" i="160" s="1"/>
  <c r="M7" i="160"/>
  <c r="K39" i="156"/>
  <c r="M39" i="156" s="1"/>
  <c r="M44" i="156" s="1"/>
  <c r="K40" i="156"/>
  <c r="M40" i="156" s="1"/>
  <c r="M45" i="156" s="1"/>
  <c r="M7" i="156"/>
  <c r="K40" i="232"/>
  <c r="M40" i="232" s="1"/>
  <c r="M46" i="232" s="1"/>
  <c r="K41" i="232"/>
  <c r="M41" i="232" s="1"/>
  <c r="M47" i="232" s="1"/>
  <c r="M7" i="232"/>
  <c r="Q30" i="231"/>
  <c r="Z30" i="168"/>
  <c r="AC30" i="168" s="1"/>
  <c r="U30" i="168"/>
  <c r="Z26" i="167"/>
  <c r="Z20" i="231"/>
  <c r="Z20" i="168"/>
  <c r="Z20" i="170"/>
  <c r="Z30" i="166"/>
  <c r="AC30" i="166" s="1"/>
  <c r="U30" i="166"/>
  <c r="E26" i="171"/>
  <c r="G41" i="91"/>
  <c r="I41" i="91" s="1"/>
  <c r="I47" i="91" s="1"/>
  <c r="G40" i="91"/>
  <c r="I40" i="91" s="1"/>
  <c r="I46" i="91" s="1"/>
  <c r="S7" i="91"/>
  <c r="I7" i="91"/>
  <c r="G40" i="200"/>
  <c r="I40" i="200" s="1"/>
  <c r="I46" i="200" s="1"/>
  <c r="G41" i="200"/>
  <c r="I41" i="200" s="1"/>
  <c r="I47" i="200" s="1"/>
  <c r="S7" i="200"/>
  <c r="I7" i="200"/>
  <c r="E20" i="172"/>
  <c r="U13" i="172"/>
  <c r="AC13" i="167"/>
  <c r="AC13" i="170"/>
  <c r="AC13" i="169"/>
  <c r="K44" i="162"/>
  <c r="M44" i="162" s="1"/>
  <c r="M50" i="162" s="1"/>
  <c r="N34" i="79"/>
  <c r="Q34" i="236"/>
  <c r="S26" i="160"/>
  <c r="U26" i="160" s="1"/>
  <c r="E26" i="160"/>
  <c r="S27" i="200"/>
  <c r="U27" i="200" s="1"/>
  <c r="E27" i="200"/>
  <c r="S27" i="232"/>
  <c r="E27" i="232"/>
  <c r="I9" i="172"/>
  <c r="S9" i="172"/>
  <c r="I9" i="165"/>
  <c r="S9" i="165"/>
  <c r="I9" i="167"/>
  <c r="S9" i="167"/>
  <c r="Z23" i="170"/>
  <c r="S29" i="154"/>
  <c r="Q29" i="154"/>
  <c r="S30" i="162"/>
  <c r="U30" i="162" s="1"/>
  <c r="Q30" i="162"/>
  <c r="S30" i="232"/>
  <c r="Q30" i="232"/>
  <c r="S21" i="170"/>
  <c r="AA21" i="170" s="1"/>
  <c r="B19" i="33"/>
  <c r="Z19" i="165"/>
  <c r="Z19" i="172"/>
  <c r="I10" i="200"/>
  <c r="S10" i="200"/>
  <c r="U10" i="200" s="1"/>
  <c r="G42" i="200"/>
  <c r="I42" i="200" s="1"/>
  <c r="I48" i="200" s="1"/>
  <c r="I10" i="162"/>
  <c r="S10" i="162"/>
  <c r="U10" i="162" s="1"/>
  <c r="G42" i="162"/>
  <c r="I42" i="162" s="1"/>
  <c r="I48" i="162" s="1"/>
  <c r="M9" i="201"/>
  <c r="C9" i="201"/>
  <c r="N9" i="201"/>
  <c r="D9" i="201"/>
  <c r="E28" i="172"/>
  <c r="S28" i="172"/>
  <c r="AA28" i="172" s="1"/>
  <c r="E28" i="173"/>
  <c r="S28" i="173"/>
  <c r="AA28" i="173" s="1"/>
  <c r="O39" i="169"/>
  <c r="Q39" i="169" s="1"/>
  <c r="Q41" i="169" s="1"/>
  <c r="K41" i="228"/>
  <c r="M41" i="228" s="1"/>
  <c r="M45" i="228" s="1"/>
  <c r="O42" i="91"/>
  <c r="Q42" i="91" s="1"/>
  <c r="Q48" i="91" s="1"/>
  <c r="Q9" i="91"/>
  <c r="AC14" i="156"/>
  <c r="S20" i="168"/>
  <c r="AA20" i="168" s="1"/>
  <c r="I11" i="173"/>
  <c r="S11" i="173"/>
  <c r="AA11" i="173" s="1"/>
  <c r="I11" i="171"/>
  <c r="S11" i="171"/>
  <c r="AA11" i="171" s="1"/>
  <c r="Z11" i="168"/>
  <c r="M9" i="174"/>
  <c r="C9" i="174"/>
  <c r="B10" i="33"/>
  <c r="Z10" i="165"/>
  <c r="S20" i="228"/>
  <c r="E20" i="228"/>
  <c r="R32" i="91"/>
  <c r="Q32" i="91"/>
  <c r="Q31" i="228"/>
  <c r="R31" i="228"/>
  <c r="O39" i="160"/>
  <c r="C19" i="193"/>
  <c r="C9" i="184"/>
  <c r="C12" i="193"/>
  <c r="E21" i="171"/>
  <c r="J17" i="33"/>
  <c r="E19" i="166"/>
  <c r="U15" i="156"/>
  <c r="B28" i="33"/>
  <c r="Z28" i="165"/>
  <c r="U28" i="165"/>
  <c r="K39" i="170"/>
  <c r="M39" i="170" s="1"/>
  <c r="M41" i="170" s="1"/>
  <c r="K39" i="173"/>
  <c r="M39" i="173" s="1"/>
  <c r="M41" i="173" s="1"/>
  <c r="K39" i="231"/>
  <c r="B8" i="229"/>
  <c r="O39" i="172"/>
  <c r="Q39" i="172" s="1"/>
  <c r="Q41" i="172" s="1"/>
  <c r="K43" i="200"/>
  <c r="M43" i="200" s="1"/>
  <c r="M49" i="200" s="1"/>
  <c r="K9" i="191"/>
  <c r="AC41" i="159"/>
  <c r="AC46" i="159" s="1"/>
  <c r="Z7" i="169"/>
  <c r="R39" i="169"/>
  <c r="J25" i="33"/>
  <c r="AA15" i="173"/>
  <c r="AC15" i="173" s="1"/>
  <c r="U15" i="173"/>
  <c r="M9" i="154"/>
  <c r="Q13" i="160"/>
  <c r="S13" i="160"/>
  <c r="U13" i="160" s="1"/>
  <c r="Q13" i="159"/>
  <c r="S13" i="159"/>
  <c r="U30" i="169"/>
  <c r="Z30" i="169"/>
  <c r="AC30" i="169" s="1"/>
  <c r="S26" i="168"/>
  <c r="AA26" i="168" s="1"/>
  <c r="Q27" i="154"/>
  <c r="S27" i="154"/>
  <c r="Q27" i="228"/>
  <c r="S27" i="228"/>
  <c r="Z20" i="167"/>
  <c r="U20" i="167"/>
  <c r="AC25" i="231"/>
  <c r="C30" i="33"/>
  <c r="K30" i="33" s="1"/>
  <c r="AA30" i="165"/>
  <c r="Z11" i="170"/>
  <c r="S18" i="228"/>
  <c r="Z24" i="166"/>
  <c r="AC17" i="168"/>
  <c r="S8" i="170"/>
  <c r="AA14" i="165"/>
  <c r="AC14" i="165" s="1"/>
  <c r="C14" i="33"/>
  <c r="K14" i="33" s="1"/>
  <c r="N9" i="175"/>
  <c r="D9" i="175"/>
  <c r="S18" i="172"/>
  <c r="I11" i="162"/>
  <c r="S11" i="162"/>
  <c r="U11" i="162" s="1"/>
  <c r="I11" i="91"/>
  <c r="S11" i="91"/>
  <c r="U11" i="91" s="1"/>
  <c r="S25" i="91"/>
  <c r="U25" i="91" s="1"/>
  <c r="E25" i="91"/>
  <c r="S24" i="228"/>
  <c r="E24" i="228"/>
  <c r="S22" i="154"/>
  <c r="I22" i="154"/>
  <c r="S23" i="91"/>
  <c r="U23" i="91" s="1"/>
  <c r="E23" i="91"/>
  <c r="S22" i="156"/>
  <c r="E22" i="156"/>
  <c r="S22" i="228"/>
  <c r="E22" i="228"/>
  <c r="AC14" i="173"/>
  <c r="I12" i="160"/>
  <c r="S12" i="160"/>
  <c r="U12" i="160" s="1"/>
  <c r="I13" i="162"/>
  <c r="S13" i="162"/>
  <c r="U13" i="162" s="1"/>
  <c r="E19" i="231"/>
  <c r="Z19" i="167"/>
  <c r="Z28" i="173"/>
  <c r="M39" i="231"/>
  <c r="M41" i="231" s="1"/>
  <c r="O39" i="167"/>
  <c r="Q39" i="167" s="1"/>
  <c r="Q41" i="167" s="1"/>
  <c r="K43" i="162"/>
  <c r="M43" i="162" s="1"/>
  <c r="M49" i="162" s="1"/>
  <c r="I12" i="170"/>
  <c r="S12" i="170"/>
  <c r="AA12" i="170" s="1"/>
  <c r="I12" i="168"/>
  <c r="S12" i="168"/>
  <c r="AA12" i="168" s="1"/>
  <c r="I12" i="167"/>
  <c r="S12" i="167"/>
  <c r="AA12" i="167" s="1"/>
  <c r="S19" i="154"/>
  <c r="I19" i="154"/>
  <c r="I20" i="200"/>
  <c r="G44" i="200"/>
  <c r="I44" i="200" s="1"/>
  <c r="I50" i="200" s="1"/>
  <c r="I20" i="162"/>
  <c r="G44" i="162"/>
  <c r="I44" i="162" s="1"/>
  <c r="I50" i="162" s="1"/>
  <c r="S20" i="232"/>
  <c r="E20" i="232"/>
  <c r="M8" i="91"/>
  <c r="S8" i="91"/>
  <c r="U8" i="91" s="1"/>
  <c r="M8" i="154"/>
  <c r="S8" i="154"/>
  <c r="M8" i="159"/>
  <c r="S8" i="159"/>
  <c r="K42" i="232"/>
  <c r="M42" i="232" s="1"/>
  <c r="M48" i="232" s="1"/>
  <c r="M9" i="232"/>
  <c r="S9" i="232"/>
  <c r="G39" i="171"/>
  <c r="I39" i="171" s="1"/>
  <c r="I41" i="171" s="1"/>
  <c r="S7" i="171"/>
  <c r="U7" i="171" s="1"/>
  <c r="G39" i="168"/>
  <c r="I39" i="168" s="1"/>
  <c r="I41" i="168" s="1"/>
  <c r="S7" i="168"/>
  <c r="AA17" i="156"/>
  <c r="AC17" i="156" s="1"/>
  <c r="U17" i="156"/>
  <c r="L9" i="175"/>
  <c r="B9" i="175"/>
  <c r="Q30" i="171"/>
  <c r="E26" i="173"/>
  <c r="Z11" i="171"/>
  <c r="S19" i="162"/>
  <c r="U19" i="162" s="1"/>
  <c r="U15" i="159"/>
  <c r="I10" i="171"/>
  <c r="S10" i="171"/>
  <c r="AA10" i="171" s="1"/>
  <c r="I10" i="165"/>
  <c r="S10" i="165"/>
  <c r="I10" i="173"/>
  <c r="S10" i="173"/>
  <c r="AA10" i="173" s="1"/>
  <c r="AC10" i="173" s="1"/>
  <c r="AA29" i="165"/>
  <c r="C29" i="33"/>
  <c r="K29" i="33" s="1"/>
  <c r="Q29" i="170"/>
  <c r="G41" i="159"/>
  <c r="I41" i="159" s="1"/>
  <c r="I46" i="159" s="1"/>
  <c r="I21" i="159"/>
  <c r="G41" i="156"/>
  <c r="I41" i="156" s="1"/>
  <c r="I46" i="156" s="1"/>
  <c r="I21" i="156"/>
  <c r="K41" i="160"/>
  <c r="M41" i="160" s="1"/>
  <c r="M46" i="160" s="1"/>
  <c r="M21" i="160"/>
  <c r="Z24" i="168"/>
  <c r="Z24" i="165"/>
  <c r="B24" i="33"/>
  <c r="U24" i="165"/>
  <c r="S22" i="167"/>
  <c r="AA22" i="167" s="1"/>
  <c r="S22" i="168"/>
  <c r="AA22" i="168" s="1"/>
  <c r="S22" i="231"/>
  <c r="AA22" i="231" s="1"/>
  <c r="AC17" i="170"/>
  <c r="O41" i="200"/>
  <c r="Q41" i="200" s="1"/>
  <c r="Q47" i="200" s="1"/>
  <c r="E23" i="165"/>
  <c r="E23" i="167"/>
  <c r="AA16" i="154"/>
  <c r="AC16" i="154" s="1"/>
  <c r="U16" i="154"/>
  <c r="I38" i="41"/>
  <c r="I43" i="41" s="1"/>
  <c r="I9" i="193"/>
  <c r="S18" i="170"/>
  <c r="E21" i="165"/>
  <c r="AG25" i="159"/>
  <c r="E19" i="173"/>
  <c r="Z8" i="168"/>
  <c r="F12" i="177"/>
  <c r="F9" i="223"/>
  <c r="F19" i="177"/>
  <c r="F9" i="180"/>
  <c r="S23" i="154"/>
  <c r="I23" i="154"/>
  <c r="S23" i="160"/>
  <c r="U23" i="160" s="1"/>
  <c r="E23" i="160"/>
  <c r="S23" i="156"/>
  <c r="E23" i="156"/>
  <c r="Z28" i="167"/>
  <c r="O43" i="200"/>
  <c r="Q43" i="200" s="1"/>
  <c r="Q49" i="200" s="1"/>
  <c r="Q12" i="200"/>
  <c r="O43" i="232"/>
  <c r="Q43" i="232" s="1"/>
  <c r="Q49" i="232" s="1"/>
  <c r="Q12" i="232"/>
  <c r="O39" i="165"/>
  <c r="Q39" i="165" s="1"/>
  <c r="Q41" i="165" s="1"/>
  <c r="U17" i="169"/>
  <c r="Z12" i="172"/>
  <c r="I7" i="231"/>
  <c r="Z7" i="171"/>
  <c r="R39" i="171"/>
  <c r="C40" i="160"/>
  <c r="E40" i="160" s="1"/>
  <c r="E45" i="160" s="1"/>
  <c r="U16" i="169"/>
  <c r="AA15" i="228"/>
  <c r="AC15" i="228" s="1"/>
  <c r="U15" i="228"/>
  <c r="J18" i="33"/>
  <c r="S28" i="159"/>
  <c r="E28" i="159"/>
  <c r="G43" i="200"/>
  <c r="I43" i="200" s="1"/>
  <c r="I49" i="200" s="1"/>
  <c r="S12" i="200"/>
  <c r="I12" i="200"/>
  <c r="G41" i="228"/>
  <c r="I41" i="228" s="1"/>
  <c r="I45" i="228" s="1"/>
  <c r="S11" i="228"/>
  <c r="I11" i="228"/>
  <c r="K40" i="91"/>
  <c r="M40" i="91" s="1"/>
  <c r="M46" i="91" s="1"/>
  <c r="K41" i="91"/>
  <c r="M41" i="91" s="1"/>
  <c r="M47" i="91" s="1"/>
  <c r="M7" i="91"/>
  <c r="K39" i="159"/>
  <c r="M39" i="159" s="1"/>
  <c r="M44" i="159" s="1"/>
  <c r="K40" i="159"/>
  <c r="M40" i="159" s="1"/>
  <c r="M45" i="159" s="1"/>
  <c r="M7" i="159"/>
  <c r="Z30" i="170"/>
  <c r="AC30" i="170" s="1"/>
  <c r="U30" i="170"/>
  <c r="Z26" i="231"/>
  <c r="AC26" i="231" s="1"/>
  <c r="U26" i="231"/>
  <c r="E26" i="169"/>
  <c r="E20" i="171"/>
  <c r="E20" i="173"/>
  <c r="AC13" i="231"/>
  <c r="Z26" i="171"/>
  <c r="U26" i="171"/>
  <c r="G39" i="156"/>
  <c r="I39" i="156" s="1"/>
  <c r="I44" i="156" s="1"/>
  <c r="G40" i="156"/>
  <c r="I40" i="156" s="1"/>
  <c r="I45" i="156" s="1"/>
  <c r="S7" i="156"/>
  <c r="I7" i="156"/>
  <c r="G39" i="154"/>
  <c r="I39" i="154" s="1"/>
  <c r="I43" i="154" s="1"/>
  <c r="G40" i="154"/>
  <c r="I40" i="154" s="1"/>
  <c r="I44" i="154" s="1"/>
  <c r="S7" i="154"/>
  <c r="I7" i="154"/>
  <c r="Z20" i="172"/>
  <c r="Q32" i="79"/>
  <c r="N33" i="232"/>
  <c r="N32" i="228"/>
  <c r="N33" i="200"/>
  <c r="N33" i="91"/>
  <c r="N32" i="154"/>
  <c r="N33" i="162"/>
  <c r="N32" i="160"/>
  <c r="N32" i="156"/>
  <c r="N32" i="159"/>
  <c r="AC13" i="172"/>
  <c r="U13" i="167"/>
  <c r="U13" i="170"/>
  <c r="AC18" i="231"/>
  <c r="U8" i="173"/>
  <c r="Z30" i="228"/>
  <c r="AC30" i="228" s="1"/>
  <c r="U30" i="228"/>
  <c r="Z29" i="165"/>
  <c r="U29" i="165"/>
  <c r="Z11" i="167"/>
  <c r="C15" i="33"/>
  <c r="AA15" i="165"/>
  <c r="AC15" i="165" s="1"/>
  <c r="U15" i="165"/>
  <c r="Z11" i="172"/>
  <c r="AA15" i="171"/>
  <c r="AC15" i="171" s="1"/>
  <c r="U15" i="171"/>
  <c r="Z10" i="166"/>
  <c r="Z29" i="169"/>
  <c r="AC29" i="169" s="1"/>
  <c r="U29" i="169"/>
  <c r="C17" i="33"/>
  <c r="K17" i="33" s="1"/>
  <c r="AA17" i="165"/>
  <c r="AC17" i="165" s="1"/>
  <c r="S26" i="159"/>
  <c r="E26" i="159"/>
  <c r="S27" i="162"/>
  <c r="U27" i="162" s="1"/>
  <c r="E27" i="162"/>
  <c r="S26" i="228"/>
  <c r="E26" i="228"/>
  <c r="I9" i="166"/>
  <c r="S9" i="166"/>
  <c r="I9" i="171"/>
  <c r="S9" i="171"/>
  <c r="O40" i="232"/>
  <c r="S29" i="159"/>
  <c r="Q29" i="159"/>
  <c r="S29" i="156"/>
  <c r="Q29" i="156"/>
  <c r="S21" i="168"/>
  <c r="AA21" i="168" s="1"/>
  <c r="S21" i="167"/>
  <c r="AA21" i="167" s="1"/>
  <c r="S21" i="172"/>
  <c r="AA21" i="172" s="1"/>
  <c r="S21" i="166"/>
  <c r="AA21" i="166" s="1"/>
  <c r="E21" i="169"/>
  <c r="E19" i="168"/>
  <c r="I9" i="159"/>
  <c r="S9" i="159"/>
  <c r="S9" i="228"/>
  <c r="I9" i="228"/>
  <c r="E28" i="166"/>
  <c r="S28" i="166"/>
  <c r="AA28" i="166" s="1"/>
  <c r="E28" i="171"/>
  <c r="S28" i="171"/>
  <c r="O39" i="168"/>
  <c r="Q39" i="168" s="1"/>
  <c r="Q41" i="168" s="1"/>
  <c r="K21" i="233"/>
  <c r="K10" i="234"/>
  <c r="K9" i="224"/>
  <c r="K13" i="233"/>
  <c r="Z12" i="165"/>
  <c r="B12" i="33"/>
  <c r="O42" i="232"/>
  <c r="Q42" i="232" s="1"/>
  <c r="Q48" i="232" s="1"/>
  <c r="Q9" i="232"/>
  <c r="Z7" i="166"/>
  <c r="R39" i="166"/>
  <c r="AA17" i="228"/>
  <c r="AC17" i="228" s="1"/>
  <c r="U17" i="228"/>
  <c r="AA17" i="154"/>
  <c r="AC17" i="154" s="1"/>
  <c r="U17" i="154"/>
  <c r="M9" i="175"/>
  <c r="C9" i="175"/>
  <c r="E19" i="193"/>
  <c r="E9" i="184"/>
  <c r="E12" i="193"/>
  <c r="U30" i="165"/>
  <c r="Z30" i="165"/>
  <c r="B30" i="33"/>
  <c r="S20" i="166"/>
  <c r="AA20" i="166" s="1"/>
  <c r="S20" i="231"/>
  <c r="AA20" i="231" s="1"/>
  <c r="I11" i="169"/>
  <c r="S11" i="169"/>
  <c r="AA11" i="169" s="1"/>
  <c r="I11" i="168"/>
  <c r="S11" i="168"/>
  <c r="AA11" i="168" s="1"/>
  <c r="Z11" i="169"/>
  <c r="Z22" i="167"/>
  <c r="Z9" i="231"/>
  <c r="S20" i="160"/>
  <c r="U20" i="160" s="1"/>
  <c r="E20" i="160"/>
  <c r="S21" i="200"/>
  <c r="U21" i="200" s="1"/>
  <c r="E21" i="200"/>
  <c r="S20" i="156"/>
  <c r="E20" i="156"/>
  <c r="R31" i="159"/>
  <c r="Q31" i="159"/>
  <c r="R32" i="162"/>
  <c r="U32" i="162" s="1"/>
  <c r="Q32" i="162"/>
  <c r="Q32" i="232"/>
  <c r="R32" i="232"/>
  <c r="O40" i="228"/>
  <c r="Q40" i="228" s="1"/>
  <c r="Q44" i="228" s="1"/>
  <c r="O40" i="160"/>
  <c r="Q40" i="160" s="1"/>
  <c r="Q45" i="160" s="1"/>
  <c r="S8" i="167"/>
  <c r="S23" i="172"/>
  <c r="AA23" i="172" s="1"/>
  <c r="AC23" i="172" s="1"/>
  <c r="S23" i="166"/>
  <c r="AA23" i="166" s="1"/>
  <c r="S23" i="168"/>
  <c r="AA23" i="168" s="1"/>
  <c r="Z23" i="171"/>
  <c r="H9" i="193"/>
  <c r="I41" i="41"/>
  <c r="I46" i="41" s="1"/>
  <c r="AE16" i="159"/>
  <c r="AG16" i="159" s="1"/>
  <c r="U16" i="159"/>
  <c r="AA15" i="168"/>
  <c r="AC15" i="168" s="1"/>
  <c r="U15" i="168"/>
  <c r="Z21" i="167"/>
  <c r="Z21" i="171"/>
  <c r="AC21" i="171" s="1"/>
  <c r="U21" i="171"/>
  <c r="AD40" i="159"/>
  <c r="B8" i="177"/>
  <c r="Z19" i="166"/>
  <c r="Z8" i="166"/>
  <c r="U8" i="166"/>
  <c r="G19" i="187"/>
  <c r="G9" i="194"/>
  <c r="G12" i="187"/>
  <c r="C9" i="233"/>
  <c r="Z28" i="168"/>
  <c r="K39" i="169"/>
  <c r="M39" i="169" s="1"/>
  <c r="M41" i="169" s="1"/>
  <c r="K39" i="166"/>
  <c r="M39" i="166" s="1"/>
  <c r="M41" i="166" s="1"/>
  <c r="M7" i="170"/>
  <c r="B8" i="190"/>
  <c r="O39" i="171"/>
  <c r="Q39" i="171" s="1"/>
  <c r="Z7" i="167"/>
  <c r="R39" i="167"/>
  <c r="U25" i="173"/>
  <c r="AA18" i="232"/>
  <c r="AC18" i="232" s="1"/>
  <c r="U18" i="232"/>
  <c r="AE17" i="159"/>
  <c r="AG17" i="159" s="1"/>
  <c r="U17" i="159"/>
  <c r="AE14" i="159"/>
  <c r="AG14" i="159" s="1"/>
  <c r="U14" i="159"/>
  <c r="O44" i="91"/>
  <c r="Q14" i="91"/>
  <c r="S14" i="91"/>
  <c r="O44" i="162"/>
  <c r="Q14" i="162"/>
  <c r="S14" i="162"/>
  <c r="Z41" i="232"/>
  <c r="K38" i="41"/>
  <c r="S26" i="172"/>
  <c r="AA26" i="172" s="1"/>
  <c r="Z26" i="170"/>
  <c r="S27" i="156"/>
  <c r="Q27" i="156"/>
  <c r="Q28" i="200"/>
  <c r="S28" i="200"/>
  <c r="U28" i="200" s="1"/>
  <c r="Q28" i="232"/>
  <c r="S28" i="232"/>
  <c r="E20" i="169"/>
  <c r="U25" i="167"/>
  <c r="E26" i="165"/>
  <c r="Z20" i="166"/>
  <c r="Z11" i="173"/>
  <c r="Z29" i="167"/>
  <c r="AC29" i="167" s="1"/>
  <c r="U29" i="167"/>
  <c r="Z22" i="171"/>
  <c r="Z22" i="168"/>
  <c r="G19" i="177"/>
  <c r="G9" i="180"/>
  <c r="G12" i="177"/>
  <c r="G9" i="223"/>
  <c r="C39" i="166"/>
  <c r="E39" i="166" s="1"/>
  <c r="E41" i="166" s="1"/>
  <c r="C39" i="172"/>
  <c r="E39" i="172" s="1"/>
  <c r="E41" i="172" s="1"/>
  <c r="O40" i="156"/>
  <c r="Q40" i="156" s="1"/>
  <c r="Q45" i="156" s="1"/>
  <c r="E23" i="168"/>
  <c r="J9" i="191"/>
  <c r="AC40" i="159"/>
  <c r="AC45" i="159" s="1"/>
  <c r="S18" i="166"/>
  <c r="S10" i="156"/>
  <c r="I10" i="156"/>
  <c r="I10" i="159"/>
  <c r="S10" i="159"/>
  <c r="E21" i="173"/>
  <c r="S23" i="162"/>
  <c r="U23" i="162" s="1"/>
  <c r="E23" i="162"/>
  <c r="S23" i="232"/>
  <c r="E23" i="232"/>
  <c r="H19" i="191"/>
  <c r="H9" i="192"/>
  <c r="H12" i="191"/>
  <c r="H9" i="221"/>
  <c r="U14" i="173"/>
  <c r="I12" i="154"/>
  <c r="S12" i="154"/>
  <c r="S12" i="228"/>
  <c r="I12" i="228"/>
  <c r="E19" i="169"/>
  <c r="H21" i="233"/>
  <c r="H10" i="234"/>
  <c r="H9" i="224"/>
  <c r="H13" i="233"/>
  <c r="AC13" i="168"/>
  <c r="M7" i="231"/>
  <c r="I12" i="169"/>
  <c r="S12" i="169"/>
  <c r="AA12" i="169" s="1"/>
  <c r="I12" i="165"/>
  <c r="S12" i="165"/>
  <c r="U12" i="165" s="1"/>
  <c r="S12" i="231"/>
  <c r="AA12" i="231" s="1"/>
  <c r="S20" i="200"/>
  <c r="U20" i="200" s="1"/>
  <c r="E20" i="200"/>
  <c r="S20" i="91"/>
  <c r="U20" i="91" s="1"/>
  <c r="E20" i="91"/>
  <c r="I20" i="232"/>
  <c r="G44" i="232"/>
  <c r="I44" i="232" s="1"/>
  <c r="I50" i="232" s="1"/>
  <c r="M8" i="156"/>
  <c r="S8" i="156"/>
  <c r="M8" i="200"/>
  <c r="S8" i="200"/>
  <c r="U8" i="200" s="1"/>
  <c r="M8" i="162"/>
  <c r="S8" i="162"/>
  <c r="U8" i="162" s="1"/>
  <c r="G39" i="172"/>
  <c r="I39" i="172" s="1"/>
  <c r="I41" i="172" s="1"/>
  <c r="S7" i="172"/>
  <c r="U7" i="172" s="1"/>
  <c r="G39" i="170"/>
  <c r="I39" i="170" s="1"/>
  <c r="I41" i="170" s="1"/>
  <c r="S7" i="170"/>
  <c r="G39" i="169"/>
  <c r="I39" i="169" s="1"/>
  <c r="I41" i="169" s="1"/>
  <c r="S7" i="169"/>
  <c r="C40" i="156"/>
  <c r="E40" i="156" s="1"/>
  <c r="E45" i="156" s="1"/>
  <c r="C44" i="200"/>
  <c r="E44" i="200" s="1"/>
  <c r="E50" i="200" s="1"/>
  <c r="Z30" i="171"/>
  <c r="AC30" i="171" s="1"/>
  <c r="U30" i="171"/>
  <c r="Z26" i="173"/>
  <c r="U26" i="173"/>
  <c r="Z11" i="166"/>
  <c r="U30" i="159"/>
  <c r="AD30" i="159"/>
  <c r="AG30" i="159" s="1"/>
  <c r="I10" i="169"/>
  <c r="S10" i="169"/>
  <c r="AA10" i="169" s="1"/>
  <c r="I10" i="167"/>
  <c r="S10" i="167"/>
  <c r="AA10" i="167" s="1"/>
  <c r="AC10" i="167" s="1"/>
  <c r="S10" i="231"/>
  <c r="AA10" i="231" s="1"/>
  <c r="Z29" i="170"/>
  <c r="AC29" i="170" s="1"/>
  <c r="U29" i="170"/>
  <c r="S21" i="160"/>
  <c r="C41" i="160"/>
  <c r="E41" i="160" s="1"/>
  <c r="E46" i="160" s="1"/>
  <c r="E21" i="160"/>
  <c r="K41" i="159"/>
  <c r="M41" i="159" s="1"/>
  <c r="M46" i="159" s="1"/>
  <c r="M21" i="159"/>
  <c r="S21" i="228"/>
  <c r="E21" i="228"/>
  <c r="S24" i="170"/>
  <c r="AA24" i="170" s="1"/>
  <c r="E24" i="173"/>
  <c r="E24" i="171"/>
  <c r="E24" i="170"/>
  <c r="S22" i="166"/>
  <c r="AA22" i="166" s="1"/>
  <c r="S22" i="165"/>
  <c r="S22" i="171"/>
  <c r="AA22" i="171" s="1"/>
  <c r="E22" i="173"/>
  <c r="F19" i="191"/>
  <c r="F9" i="192"/>
  <c r="F9" i="221"/>
  <c r="F12" i="191"/>
  <c r="C39" i="167"/>
  <c r="E39" i="167" s="1"/>
  <c r="E41" i="167" s="1"/>
  <c r="S8" i="172"/>
  <c r="G19" i="191"/>
  <c r="G12" i="191"/>
  <c r="G9" i="221"/>
  <c r="G9" i="192"/>
  <c r="Z23" i="165"/>
  <c r="B23" i="33"/>
  <c r="Z23" i="167"/>
  <c r="AA16" i="156"/>
  <c r="AC16" i="156" s="1"/>
  <c r="U16" i="156"/>
  <c r="S18" i="168"/>
  <c r="Z21" i="166"/>
  <c r="B21" i="33"/>
  <c r="Z21" i="165"/>
  <c r="U17" i="172"/>
  <c r="Z19" i="173"/>
  <c r="Z43" i="232"/>
  <c r="E28" i="231"/>
  <c r="O43" i="162"/>
  <c r="Q43" i="162" s="1"/>
  <c r="Q49" i="162" s="1"/>
  <c r="Q12" i="162"/>
  <c r="O43" i="91"/>
  <c r="Q43" i="91" s="1"/>
  <c r="Q49" i="91" s="1"/>
  <c r="Q12" i="91"/>
  <c r="M7" i="167"/>
  <c r="M7" i="172"/>
  <c r="O39" i="166"/>
  <c r="Q39" i="166" s="1"/>
  <c r="Q41" i="166" s="1"/>
  <c r="G21" i="233"/>
  <c r="G10" i="234"/>
  <c r="G9" i="224"/>
  <c r="G13" i="233"/>
  <c r="Z12" i="168"/>
  <c r="Z7" i="172"/>
  <c r="R39" i="172"/>
  <c r="I7" i="171"/>
  <c r="U25" i="169"/>
  <c r="AA25" i="165"/>
  <c r="AC25" i="165" s="1"/>
  <c r="C25" i="33"/>
  <c r="K25" i="33" s="1"/>
  <c r="C40" i="91"/>
  <c r="E40" i="91" s="1"/>
  <c r="E46" i="91" s="1"/>
  <c r="C39" i="160"/>
  <c r="E39" i="160" s="1"/>
  <c r="E44" i="160" s="1"/>
  <c r="AC16" i="169"/>
  <c r="AA14" i="228"/>
  <c r="AC14" i="228" s="1"/>
  <c r="U14" i="228"/>
  <c r="S29" i="91"/>
  <c r="U29" i="91" s="1"/>
  <c r="E29" i="91"/>
  <c r="I11" i="159"/>
  <c r="S11" i="159"/>
  <c r="G43" i="162"/>
  <c r="I43" i="162" s="1"/>
  <c r="I49" i="162" s="1"/>
  <c r="S12" i="162"/>
  <c r="I12" i="162"/>
  <c r="G43" i="232"/>
  <c r="I43" i="232" s="1"/>
  <c r="I49" i="232" s="1"/>
  <c r="S12" i="232"/>
  <c r="I12" i="232"/>
  <c r="K40" i="200"/>
  <c r="M40" i="200" s="1"/>
  <c r="M46" i="200" s="1"/>
  <c r="K41" i="200"/>
  <c r="M41" i="200" s="1"/>
  <c r="M47" i="200" s="1"/>
  <c r="M7" i="200"/>
  <c r="K41" i="162"/>
  <c r="M41" i="162" s="1"/>
  <c r="M47" i="162" s="1"/>
  <c r="K40" i="162"/>
  <c r="M40" i="162" s="1"/>
  <c r="M46" i="162" s="1"/>
  <c r="M7" i="162"/>
  <c r="U14" i="169"/>
  <c r="Q30" i="170"/>
  <c r="E26" i="231"/>
  <c r="Z26" i="169"/>
  <c r="Z20" i="171"/>
  <c r="Z20" i="173"/>
  <c r="AC20" i="173" s="1"/>
  <c r="U13" i="231"/>
  <c r="E26" i="166"/>
  <c r="G39" i="160"/>
  <c r="I39" i="160" s="1"/>
  <c r="I44" i="160" s="1"/>
  <c r="G40" i="160"/>
  <c r="I40" i="160" s="1"/>
  <c r="I45" i="160" s="1"/>
  <c r="S7" i="160"/>
  <c r="I7" i="160"/>
  <c r="G40" i="228"/>
  <c r="I40" i="228" s="1"/>
  <c r="I44" i="228" s="1"/>
  <c r="G39" i="228"/>
  <c r="I39" i="228" s="1"/>
  <c r="I43" i="228" s="1"/>
  <c r="S7" i="228"/>
  <c r="I7" i="228"/>
  <c r="E20" i="165"/>
  <c r="E45" i="154"/>
  <c r="B8" i="33"/>
  <c r="U13" i="171"/>
  <c r="U18" i="231"/>
  <c r="AC10" i="171" l="1"/>
  <c r="L9" i="193"/>
  <c r="AC9" i="231"/>
  <c r="U19" i="231"/>
  <c r="AC11" i="231"/>
  <c r="U18" i="167"/>
  <c r="U9" i="231"/>
  <c r="AA20" i="165"/>
  <c r="AC20" i="165" s="1"/>
  <c r="U11" i="231"/>
  <c r="U18" i="171"/>
  <c r="U26" i="169"/>
  <c r="U24" i="166"/>
  <c r="U27" i="172"/>
  <c r="U27" i="171"/>
  <c r="U10" i="166"/>
  <c r="AC22" i="173"/>
  <c r="U11" i="169"/>
  <c r="AC24" i="168"/>
  <c r="U18" i="154"/>
  <c r="U22" i="168"/>
  <c r="AA27" i="165"/>
  <c r="AC27" i="165" s="1"/>
  <c r="U28" i="167"/>
  <c r="U11" i="173"/>
  <c r="AC12" i="172"/>
  <c r="M45" i="154"/>
  <c r="U13" i="173"/>
  <c r="M25" i="33"/>
  <c r="AC20" i="169"/>
  <c r="U19" i="232"/>
  <c r="AC23" i="169"/>
  <c r="U28" i="170"/>
  <c r="U11" i="172"/>
  <c r="U19" i="165"/>
  <c r="U23" i="173"/>
  <c r="AC21" i="169"/>
  <c r="U20" i="172"/>
  <c r="AC23" i="166"/>
  <c r="U12" i="173"/>
  <c r="U8" i="168"/>
  <c r="AC12" i="173"/>
  <c r="U18" i="156"/>
  <c r="AC12" i="168"/>
  <c r="U21" i="166"/>
  <c r="AC19" i="166"/>
  <c r="AC21" i="172"/>
  <c r="AC20" i="168"/>
  <c r="U28" i="169"/>
  <c r="U23" i="167"/>
  <c r="U27" i="231"/>
  <c r="AC26" i="166"/>
  <c r="U13" i="166"/>
  <c r="U19" i="173"/>
  <c r="AC22" i="166"/>
  <c r="AC24" i="170"/>
  <c r="U24" i="168"/>
  <c r="U18" i="173"/>
  <c r="U8" i="231"/>
  <c r="U21" i="231"/>
  <c r="AC23" i="167"/>
  <c r="U12" i="172"/>
  <c r="U20" i="166"/>
  <c r="U22" i="167"/>
  <c r="AC11" i="168"/>
  <c r="AC30" i="165"/>
  <c r="AA13" i="165"/>
  <c r="AC13" i="165" s="1"/>
  <c r="U11" i="167"/>
  <c r="U8" i="171"/>
  <c r="U19" i="167"/>
  <c r="AC26" i="168"/>
  <c r="AC28" i="172"/>
  <c r="U19" i="172"/>
  <c r="AC8" i="231"/>
  <c r="AC21" i="231"/>
  <c r="U24" i="231"/>
  <c r="AC24" i="173"/>
  <c r="U19" i="169"/>
  <c r="U18" i="159"/>
  <c r="AC20" i="172"/>
  <c r="U24" i="173"/>
  <c r="AC19" i="173"/>
  <c r="AC10" i="169"/>
  <c r="U11" i="166"/>
  <c r="U28" i="168"/>
  <c r="U19" i="166"/>
  <c r="U21" i="167"/>
  <c r="U23" i="171"/>
  <c r="AC28" i="166"/>
  <c r="M17" i="33"/>
  <c r="C13" i="33"/>
  <c r="K13" i="33" s="1"/>
  <c r="M13" i="33" s="1"/>
  <c r="U11" i="171"/>
  <c r="AC19" i="167"/>
  <c r="AC19" i="172"/>
  <c r="U20" i="170"/>
  <c r="E16" i="33"/>
  <c r="AA18" i="165"/>
  <c r="AC18" i="165" s="1"/>
  <c r="AC24" i="231"/>
  <c r="U26" i="166"/>
  <c r="C27" i="33"/>
  <c r="K27" i="33" s="1"/>
  <c r="M27" i="33" s="1"/>
  <c r="U19" i="171"/>
  <c r="U20" i="169"/>
  <c r="U22" i="173"/>
  <c r="U28" i="231"/>
  <c r="AC19" i="231"/>
  <c r="U22" i="172"/>
  <c r="AC22" i="172"/>
  <c r="AC24" i="169"/>
  <c r="AC11" i="169"/>
  <c r="U12" i="168"/>
  <c r="AC26" i="173"/>
  <c r="U26" i="170"/>
  <c r="AC21" i="168"/>
  <c r="AC20" i="167"/>
  <c r="U22" i="170"/>
  <c r="AC28" i="231"/>
  <c r="U24" i="169"/>
  <c r="AA28" i="156"/>
  <c r="AC28" i="156" s="1"/>
  <c r="U28" i="156"/>
  <c r="U20" i="171"/>
  <c r="AC20" i="171"/>
  <c r="AC26" i="170"/>
  <c r="AC23" i="168"/>
  <c r="U23" i="170"/>
  <c r="U19" i="170"/>
  <c r="U21" i="173"/>
  <c r="U20" i="173"/>
  <c r="AC26" i="172"/>
  <c r="U28" i="173"/>
  <c r="U11" i="170"/>
  <c r="AC21" i="170"/>
  <c r="U22" i="169"/>
  <c r="AC19" i="170"/>
  <c r="AC19" i="168"/>
  <c r="U22" i="171"/>
  <c r="AC29" i="165"/>
  <c r="AC10" i="170"/>
  <c r="C20" i="33"/>
  <c r="K20" i="33" s="1"/>
  <c r="AC11" i="171"/>
  <c r="U21" i="170"/>
  <c r="AA7" i="228"/>
  <c r="S39" i="228"/>
  <c r="D9" i="229" s="1"/>
  <c r="S40" i="228"/>
  <c r="U7" i="228"/>
  <c r="S43" i="162"/>
  <c r="U12" i="162"/>
  <c r="J8" i="33"/>
  <c r="AE11" i="159"/>
  <c r="AG11" i="159" s="1"/>
  <c r="U11" i="159"/>
  <c r="G21" i="234"/>
  <c r="G13" i="234"/>
  <c r="G19" i="192"/>
  <c r="G12" i="192"/>
  <c r="AA8" i="172"/>
  <c r="AC8" i="172" s="1"/>
  <c r="U8" i="172"/>
  <c r="F19" i="192"/>
  <c r="F12" i="192"/>
  <c r="C22" i="33"/>
  <c r="K22" i="33" s="1"/>
  <c r="AA22" i="165"/>
  <c r="AC22" i="165" s="1"/>
  <c r="S41" i="160"/>
  <c r="U21" i="160"/>
  <c r="AA7" i="169"/>
  <c r="AC7" i="169" s="1"/>
  <c r="S39" i="169"/>
  <c r="U39" i="169" s="1"/>
  <c r="U41" i="169" s="1"/>
  <c r="S39" i="172"/>
  <c r="U39" i="172" s="1"/>
  <c r="U41" i="172" s="1"/>
  <c r="AA7" i="172"/>
  <c r="AC7" i="172" s="1"/>
  <c r="H27" i="233"/>
  <c r="H29" i="233" s="1"/>
  <c r="H24" i="233"/>
  <c r="AA12" i="228"/>
  <c r="AC12" i="228" s="1"/>
  <c r="U12" i="228"/>
  <c r="H19" i="221"/>
  <c r="H9" i="222"/>
  <c r="H12" i="221"/>
  <c r="AA10" i="156"/>
  <c r="AC10" i="156" s="1"/>
  <c r="U10" i="156"/>
  <c r="C20" i="233"/>
  <c r="C9" i="234"/>
  <c r="C8" i="224"/>
  <c r="L19" i="193"/>
  <c r="L12" i="193"/>
  <c r="L9" i="184"/>
  <c r="H19" i="193"/>
  <c r="H12" i="193"/>
  <c r="H9" i="184"/>
  <c r="U32" i="232"/>
  <c r="Z32" i="232"/>
  <c r="AD31" i="159"/>
  <c r="AG31" i="159" s="1"/>
  <c r="U31" i="159"/>
  <c r="AA20" i="156"/>
  <c r="AC20" i="156" s="1"/>
  <c r="U20" i="156"/>
  <c r="J30" i="33"/>
  <c r="M30" i="33" s="1"/>
  <c r="E30" i="33"/>
  <c r="E19" i="184"/>
  <c r="E12" i="184"/>
  <c r="AC21" i="166"/>
  <c r="R32" i="159"/>
  <c r="Q32" i="159"/>
  <c r="R32" i="154"/>
  <c r="Q32" i="154"/>
  <c r="Q33" i="232"/>
  <c r="R33" i="232"/>
  <c r="S43" i="200"/>
  <c r="U12" i="200"/>
  <c r="F19" i="223"/>
  <c r="F9" i="220"/>
  <c r="F12" i="223"/>
  <c r="I19" i="193"/>
  <c r="I9" i="184"/>
  <c r="I12" i="193"/>
  <c r="AA10" i="165"/>
  <c r="AC10" i="165" s="1"/>
  <c r="C10" i="33"/>
  <c r="K10" i="33" s="1"/>
  <c r="L20" i="175"/>
  <c r="L9" i="199"/>
  <c r="AA7" i="168"/>
  <c r="AC7" i="168" s="1"/>
  <c r="S39" i="168"/>
  <c r="U39" i="168" s="1"/>
  <c r="U41" i="168" s="1"/>
  <c r="AA9" i="232"/>
  <c r="S42" i="232"/>
  <c r="U9" i="232"/>
  <c r="AA19" i="154"/>
  <c r="AC19" i="154" s="1"/>
  <c r="U19" i="154"/>
  <c r="AA18" i="172"/>
  <c r="AC18" i="172" s="1"/>
  <c r="U18" i="172"/>
  <c r="AA27" i="154"/>
  <c r="AC27" i="154" s="1"/>
  <c r="U27" i="154"/>
  <c r="J10" i="33"/>
  <c r="C20" i="174"/>
  <c r="C9" i="198"/>
  <c r="AC28" i="173"/>
  <c r="C20" i="201"/>
  <c r="C9" i="202"/>
  <c r="J19" i="33"/>
  <c r="AA27" i="232"/>
  <c r="AC27" i="232" s="1"/>
  <c r="U27" i="232"/>
  <c r="AA11" i="154"/>
  <c r="S41" i="154"/>
  <c r="C9" i="177" s="1"/>
  <c r="U11" i="154"/>
  <c r="U23" i="166"/>
  <c r="E22" i="177"/>
  <c r="E25" i="177"/>
  <c r="E27" i="177" s="1"/>
  <c r="Z39" i="170"/>
  <c r="AE12" i="159"/>
  <c r="AG12" i="159" s="1"/>
  <c r="U12" i="159"/>
  <c r="AA25" i="232"/>
  <c r="AC25" i="232" s="1"/>
  <c r="U25" i="232"/>
  <c r="AA24" i="154"/>
  <c r="AC24" i="154" s="1"/>
  <c r="U24" i="154"/>
  <c r="M19" i="191"/>
  <c r="M9" i="192"/>
  <c r="M9" i="221"/>
  <c r="M12" i="191"/>
  <c r="U10" i="167"/>
  <c r="S44" i="200"/>
  <c r="U14" i="200"/>
  <c r="AC12" i="169"/>
  <c r="E13" i="33"/>
  <c r="I20" i="224"/>
  <c r="I9" i="225"/>
  <c r="I12" i="224"/>
  <c r="H8" i="177"/>
  <c r="AA8" i="169"/>
  <c r="AC8" i="169" s="1"/>
  <c r="U8" i="169"/>
  <c r="U32" i="200"/>
  <c r="AA20" i="154"/>
  <c r="AC20" i="154" s="1"/>
  <c r="U20" i="154"/>
  <c r="U22" i="165"/>
  <c r="U10" i="171"/>
  <c r="AC11" i="170"/>
  <c r="U7" i="168"/>
  <c r="AA7" i="232"/>
  <c r="S40" i="232"/>
  <c r="F10" i="233" s="1"/>
  <c r="S41" i="232"/>
  <c r="U7" i="232"/>
  <c r="S41" i="162"/>
  <c r="S40" i="162"/>
  <c r="U7" i="162"/>
  <c r="S39" i="159"/>
  <c r="E9" i="191" s="1"/>
  <c r="S40" i="159"/>
  <c r="AE7" i="159"/>
  <c r="U7" i="159"/>
  <c r="Z39" i="231"/>
  <c r="AA23" i="228"/>
  <c r="AC23" i="228" s="1"/>
  <c r="U23" i="228"/>
  <c r="AE23" i="159"/>
  <c r="AG23" i="159" s="1"/>
  <c r="U23" i="159"/>
  <c r="AA27" i="168"/>
  <c r="AC27" i="168" s="1"/>
  <c r="U27" i="168"/>
  <c r="AC22" i="170"/>
  <c r="U24" i="171"/>
  <c r="U12" i="171"/>
  <c r="AC8" i="166"/>
  <c r="B20" i="233"/>
  <c r="B9" i="234"/>
  <c r="B8" i="224"/>
  <c r="AC23" i="173"/>
  <c r="J8" i="187"/>
  <c r="U10" i="173"/>
  <c r="AC11" i="166"/>
  <c r="AC11" i="167"/>
  <c r="J21" i="234"/>
  <c r="J13" i="234"/>
  <c r="AC12" i="167"/>
  <c r="U19" i="168"/>
  <c r="M14" i="33"/>
  <c r="U21" i="169"/>
  <c r="AC23" i="231"/>
  <c r="AA9" i="170"/>
  <c r="AC9" i="170" s="1"/>
  <c r="U9" i="170"/>
  <c r="B20" i="201"/>
  <c r="B9" i="202"/>
  <c r="S40" i="160"/>
  <c r="S39" i="160"/>
  <c r="E9" i="190" s="1"/>
  <c r="U7" i="160"/>
  <c r="G24" i="233"/>
  <c r="G27" i="233"/>
  <c r="G29" i="233" s="1"/>
  <c r="G19" i="221"/>
  <c r="G9" i="222"/>
  <c r="G12" i="221"/>
  <c r="F22" i="191"/>
  <c r="F25" i="191"/>
  <c r="F27" i="191" s="1"/>
  <c r="AA12" i="154"/>
  <c r="AC12" i="154" s="1"/>
  <c r="U12" i="154"/>
  <c r="AA23" i="232"/>
  <c r="AC23" i="232" s="1"/>
  <c r="U23" i="232"/>
  <c r="AE10" i="159"/>
  <c r="AG10" i="159" s="1"/>
  <c r="U10" i="159"/>
  <c r="AA18" i="166"/>
  <c r="AC18" i="166" s="1"/>
  <c r="U18" i="166"/>
  <c r="G19" i="180"/>
  <c r="G12" i="180"/>
  <c r="AA28" i="232"/>
  <c r="AC28" i="232" s="1"/>
  <c r="U28" i="232"/>
  <c r="L9" i="233"/>
  <c r="Z39" i="167"/>
  <c r="B18" i="190"/>
  <c r="B8" i="189"/>
  <c r="B8" i="221"/>
  <c r="N8" i="191"/>
  <c r="E22" i="193"/>
  <c r="E25" i="193"/>
  <c r="E27" i="193" s="1"/>
  <c r="C20" i="175"/>
  <c r="C9" i="199"/>
  <c r="J12" i="33"/>
  <c r="K20" i="224"/>
  <c r="K9" i="225"/>
  <c r="K12" i="224"/>
  <c r="AA28" i="171"/>
  <c r="AC28" i="171" s="1"/>
  <c r="U28" i="171"/>
  <c r="AA29" i="156"/>
  <c r="AC29" i="156" s="1"/>
  <c r="U29" i="156"/>
  <c r="AA9" i="171"/>
  <c r="AC9" i="171" s="1"/>
  <c r="U9" i="171"/>
  <c r="K15" i="33"/>
  <c r="M15" i="33" s="1"/>
  <c r="E15" i="33"/>
  <c r="R32" i="156"/>
  <c r="Q32" i="156"/>
  <c r="R33" i="91"/>
  <c r="U33" i="91" s="1"/>
  <c r="Q33" i="91"/>
  <c r="S40" i="154"/>
  <c r="S39" i="154"/>
  <c r="D9" i="177" s="1"/>
  <c r="AA7" i="154"/>
  <c r="U7" i="154"/>
  <c r="S39" i="156"/>
  <c r="E9" i="187" s="1"/>
  <c r="AA7" i="156"/>
  <c r="S40" i="156"/>
  <c r="U7" i="156"/>
  <c r="AA11" i="228"/>
  <c r="S41" i="228"/>
  <c r="C9" i="229" s="1"/>
  <c r="U11" i="228"/>
  <c r="Z39" i="171"/>
  <c r="AA23" i="156"/>
  <c r="AC23" i="156" s="1"/>
  <c r="U23" i="156"/>
  <c r="AA23" i="154"/>
  <c r="AC23" i="154" s="1"/>
  <c r="U23" i="154"/>
  <c r="J24" i="33"/>
  <c r="AA8" i="154"/>
  <c r="AC8" i="154" s="1"/>
  <c r="U8" i="154"/>
  <c r="AA22" i="228"/>
  <c r="AC22" i="228" s="1"/>
  <c r="U22" i="228"/>
  <c r="AA24" i="228"/>
  <c r="AC24" i="228" s="1"/>
  <c r="U24" i="228"/>
  <c r="K19" i="191"/>
  <c r="K12" i="191"/>
  <c r="K9" i="221"/>
  <c r="K9" i="192"/>
  <c r="B18" i="229"/>
  <c r="B8" i="230"/>
  <c r="AA20" i="228"/>
  <c r="AC20" i="228" s="1"/>
  <c r="U20" i="228"/>
  <c r="M20" i="174"/>
  <c r="M9" i="198"/>
  <c r="D20" i="201"/>
  <c r="D9" i="202"/>
  <c r="M20" i="201"/>
  <c r="M9" i="202"/>
  <c r="AA9" i="167"/>
  <c r="AC9" i="167" s="1"/>
  <c r="U9" i="167"/>
  <c r="AA9" i="172"/>
  <c r="AC9" i="172" s="1"/>
  <c r="U9" i="172"/>
  <c r="U20" i="231"/>
  <c r="AA28" i="228"/>
  <c r="AC28" i="228" s="1"/>
  <c r="U28" i="228"/>
  <c r="AA28" i="154"/>
  <c r="AC28" i="154" s="1"/>
  <c r="U28" i="154"/>
  <c r="D20" i="233"/>
  <c r="D9" i="234"/>
  <c r="D8" i="224"/>
  <c r="C7" i="33"/>
  <c r="E7" i="33" s="1"/>
  <c r="S39" i="165"/>
  <c r="U39" i="165" s="1"/>
  <c r="U41" i="165" s="1"/>
  <c r="AA7" i="165"/>
  <c r="AA8" i="232"/>
  <c r="AC8" i="232" s="1"/>
  <c r="U8" i="232"/>
  <c r="AC12" i="170"/>
  <c r="F19" i="194"/>
  <c r="F12" i="194"/>
  <c r="L19" i="191"/>
  <c r="L9" i="192"/>
  <c r="L9" i="221"/>
  <c r="L12" i="191"/>
  <c r="F22" i="229"/>
  <c r="F25" i="229"/>
  <c r="F27" i="229" s="1"/>
  <c r="AC26" i="167"/>
  <c r="U28" i="172"/>
  <c r="I21" i="234"/>
  <c r="I13" i="234"/>
  <c r="I19" i="194"/>
  <c r="I12" i="194"/>
  <c r="Z31" i="156"/>
  <c r="U31" i="156"/>
  <c r="B18" i="187"/>
  <c r="B8" i="194"/>
  <c r="Z39" i="168"/>
  <c r="G19" i="193"/>
  <c r="G9" i="184"/>
  <c r="G12" i="193"/>
  <c r="C28" i="33"/>
  <c r="K28" i="33" s="1"/>
  <c r="AA28" i="165"/>
  <c r="AC28" i="165" s="1"/>
  <c r="I45" i="154"/>
  <c r="AC19" i="171"/>
  <c r="AA9" i="168"/>
  <c r="AC9" i="168" s="1"/>
  <c r="U9" i="168"/>
  <c r="J20" i="33"/>
  <c r="S43" i="91"/>
  <c r="U43" i="91" s="1"/>
  <c r="U49" i="91" s="1"/>
  <c r="U12" i="91"/>
  <c r="AA18" i="169"/>
  <c r="AC18" i="169" s="1"/>
  <c r="U18" i="169"/>
  <c r="AC24" i="171"/>
  <c r="AA22" i="232"/>
  <c r="AC22" i="232" s="1"/>
  <c r="U22" i="232"/>
  <c r="AC10" i="172"/>
  <c r="S39" i="173"/>
  <c r="U39" i="173" s="1"/>
  <c r="U41" i="173" s="1"/>
  <c r="AA7" i="173"/>
  <c r="AC7" i="173" s="1"/>
  <c r="AA8" i="228"/>
  <c r="AC8" i="228" s="1"/>
  <c r="U8" i="228"/>
  <c r="AA19" i="228"/>
  <c r="AC19" i="228" s="1"/>
  <c r="U19" i="228"/>
  <c r="AC12" i="171"/>
  <c r="AA12" i="156"/>
  <c r="AC12" i="156" s="1"/>
  <c r="U12" i="156"/>
  <c r="AE24" i="159"/>
  <c r="AG24" i="159" s="1"/>
  <c r="U24" i="159"/>
  <c r="AA10" i="228"/>
  <c r="AC10" i="228" s="1"/>
  <c r="U10" i="228"/>
  <c r="AC8" i="168"/>
  <c r="U22" i="231"/>
  <c r="U10" i="168"/>
  <c r="J26" i="33"/>
  <c r="AA13" i="228"/>
  <c r="AC13" i="228" s="1"/>
  <c r="U13" i="228"/>
  <c r="G19" i="230"/>
  <c r="G12" i="230"/>
  <c r="B18" i="191"/>
  <c r="B8" i="192"/>
  <c r="AA23" i="165"/>
  <c r="AC23" i="165" s="1"/>
  <c r="C23" i="33"/>
  <c r="K23" i="33" s="1"/>
  <c r="AE20" i="159"/>
  <c r="AG20" i="159" s="1"/>
  <c r="U20" i="159"/>
  <c r="I19" i="221"/>
  <c r="I12" i="221"/>
  <c r="I9" i="222"/>
  <c r="J27" i="233"/>
  <c r="J29" i="233" s="1"/>
  <c r="J24" i="233"/>
  <c r="Z39" i="165"/>
  <c r="AC28" i="167"/>
  <c r="E14" i="33"/>
  <c r="B20" i="174"/>
  <c r="B9" i="198"/>
  <c r="L20" i="201"/>
  <c r="L9" i="202"/>
  <c r="N9" i="233"/>
  <c r="AA18" i="168"/>
  <c r="AC18" i="168" s="1"/>
  <c r="U18" i="168"/>
  <c r="AA7" i="170"/>
  <c r="S39" i="170"/>
  <c r="U39" i="170" s="1"/>
  <c r="U41" i="170" s="1"/>
  <c r="AA8" i="156"/>
  <c r="AC8" i="156" s="1"/>
  <c r="U8" i="156"/>
  <c r="H20" i="224"/>
  <c r="H9" i="225"/>
  <c r="H12" i="224"/>
  <c r="H12" i="192"/>
  <c r="H19" i="192"/>
  <c r="G22" i="177"/>
  <c r="G25" i="177"/>
  <c r="G27" i="177" s="1"/>
  <c r="AA27" i="156"/>
  <c r="AC27" i="156" s="1"/>
  <c r="U27" i="156"/>
  <c r="S44" i="91"/>
  <c r="U14" i="91"/>
  <c r="G19" i="194"/>
  <c r="G12" i="194"/>
  <c r="M20" i="175"/>
  <c r="M9" i="199"/>
  <c r="Z39" i="166"/>
  <c r="K21" i="234"/>
  <c r="K13" i="234"/>
  <c r="AA9" i="228"/>
  <c r="AC9" i="228" s="1"/>
  <c r="U9" i="228"/>
  <c r="AC21" i="167"/>
  <c r="AA26" i="228"/>
  <c r="AC26" i="228" s="1"/>
  <c r="U26" i="228"/>
  <c r="AE26" i="159"/>
  <c r="AG26" i="159" s="1"/>
  <c r="U26" i="159"/>
  <c r="R32" i="160"/>
  <c r="Q32" i="160"/>
  <c r="Q33" i="200"/>
  <c r="R33" i="200"/>
  <c r="U33" i="200" s="1"/>
  <c r="F19" i="180"/>
  <c r="F12" i="180"/>
  <c r="AC22" i="168"/>
  <c r="AA7" i="171"/>
  <c r="S39" i="171"/>
  <c r="U39" i="171" s="1"/>
  <c r="U41" i="171" s="1"/>
  <c r="AA20" i="232"/>
  <c r="AC20" i="232" s="1"/>
  <c r="U20" i="232"/>
  <c r="D20" i="175"/>
  <c r="D9" i="199"/>
  <c r="AA8" i="170"/>
  <c r="AC8" i="170" s="1"/>
  <c r="U8" i="170"/>
  <c r="AA18" i="228"/>
  <c r="AC18" i="228" s="1"/>
  <c r="U18" i="228"/>
  <c r="AA27" i="228"/>
  <c r="AC27" i="228" s="1"/>
  <c r="U27" i="228"/>
  <c r="AE13" i="159"/>
  <c r="AG13" i="159" s="1"/>
  <c r="U13" i="159"/>
  <c r="U7" i="169"/>
  <c r="C19" i="184"/>
  <c r="C12" i="184"/>
  <c r="Z31" i="228"/>
  <c r="AC31" i="228" s="1"/>
  <c r="U31" i="228"/>
  <c r="U32" i="91"/>
  <c r="U10" i="165"/>
  <c r="N20" i="201"/>
  <c r="N9" i="202"/>
  <c r="AA30" i="232"/>
  <c r="AC30" i="232" s="1"/>
  <c r="U30" i="232"/>
  <c r="AA29" i="154"/>
  <c r="AC29" i="154" s="1"/>
  <c r="U29" i="154"/>
  <c r="Q34" i="79"/>
  <c r="N35" i="232"/>
  <c r="N34" i="228"/>
  <c r="N35" i="162"/>
  <c r="N34" i="159"/>
  <c r="N34" i="160"/>
  <c r="N35" i="91"/>
  <c r="N34" i="156"/>
  <c r="N34" i="154"/>
  <c r="N35" i="200"/>
  <c r="AC20" i="231"/>
  <c r="U28" i="166"/>
  <c r="U23" i="172"/>
  <c r="E19" i="223"/>
  <c r="E9" i="220"/>
  <c r="E12" i="223"/>
  <c r="AC24" i="165"/>
  <c r="AA21" i="156"/>
  <c r="S41" i="156"/>
  <c r="C9" i="187" s="1"/>
  <c r="U21" i="156"/>
  <c r="S41" i="159"/>
  <c r="C9" i="191" s="1"/>
  <c r="AE21" i="159"/>
  <c r="U21" i="159"/>
  <c r="S42" i="200"/>
  <c r="U9" i="200"/>
  <c r="AE19" i="159"/>
  <c r="AG19" i="159" s="1"/>
  <c r="U19" i="159"/>
  <c r="U12" i="170"/>
  <c r="F22" i="187"/>
  <c r="F25" i="187"/>
  <c r="F27" i="187" s="1"/>
  <c r="AE22" i="159"/>
  <c r="AG22" i="159" s="1"/>
  <c r="U22" i="159"/>
  <c r="AA11" i="232"/>
  <c r="AC11" i="232" s="1"/>
  <c r="U11" i="232"/>
  <c r="AA26" i="165"/>
  <c r="AC26" i="165" s="1"/>
  <c r="C26" i="33"/>
  <c r="K26" i="33" s="1"/>
  <c r="AA13" i="154"/>
  <c r="AC13" i="154" s="1"/>
  <c r="U13" i="154"/>
  <c r="H8" i="229"/>
  <c r="I24" i="233"/>
  <c r="I27" i="233"/>
  <c r="I29" i="233" s="1"/>
  <c r="I22" i="187"/>
  <c r="I25" i="187"/>
  <c r="I27" i="187" s="1"/>
  <c r="U21" i="168"/>
  <c r="C18" i="33"/>
  <c r="AC23" i="170"/>
  <c r="AA21" i="232"/>
  <c r="AC21" i="232" s="1"/>
  <c r="U21" i="232"/>
  <c r="U22" i="166"/>
  <c r="J22" i="33"/>
  <c r="AC11" i="172"/>
  <c r="U26" i="172"/>
  <c r="C19" i="33"/>
  <c r="K19" i="33" s="1"/>
  <c r="AA29" i="228"/>
  <c r="AC29" i="228" s="1"/>
  <c r="U29" i="228"/>
  <c r="Q33" i="79"/>
  <c r="N34" i="232"/>
  <c r="N33" i="228"/>
  <c r="N34" i="162"/>
  <c r="N33" i="159"/>
  <c r="N33" i="160"/>
  <c r="N34" i="91"/>
  <c r="N34" i="200"/>
  <c r="N33" i="154"/>
  <c r="N33" i="156"/>
  <c r="M40" i="41"/>
  <c r="M45" i="41" s="1"/>
  <c r="K9" i="193"/>
  <c r="AC12" i="231"/>
  <c r="U24" i="170"/>
  <c r="AC24" i="167"/>
  <c r="J11" i="33"/>
  <c r="Z39" i="173"/>
  <c r="AA19" i="156"/>
  <c r="AC19" i="156" s="1"/>
  <c r="U19" i="156"/>
  <c r="U23" i="168"/>
  <c r="AC22" i="231"/>
  <c r="AC26" i="169"/>
  <c r="M16" i="33"/>
  <c r="AC12" i="166"/>
  <c r="Z31" i="154"/>
  <c r="AC31" i="154" s="1"/>
  <c r="U31" i="154"/>
  <c r="I22" i="191"/>
  <c r="I25" i="191"/>
  <c r="I27" i="191" s="1"/>
  <c r="C11" i="33"/>
  <c r="K11" i="33" s="1"/>
  <c r="AA11" i="165"/>
  <c r="AC11" i="165" s="1"/>
  <c r="J7" i="33"/>
  <c r="B39" i="33"/>
  <c r="C21" i="33"/>
  <c r="K21" i="33" s="1"/>
  <c r="AA21" i="165"/>
  <c r="AC21" i="165" s="1"/>
  <c r="AA9" i="173"/>
  <c r="AC9" i="173" s="1"/>
  <c r="U9" i="173"/>
  <c r="L20" i="174"/>
  <c r="L9" i="198"/>
  <c r="U10" i="231"/>
  <c r="U10" i="169"/>
  <c r="J23" i="33"/>
  <c r="AA12" i="232"/>
  <c r="S43" i="232"/>
  <c r="U12" i="232"/>
  <c r="Z39" i="172"/>
  <c r="G20" i="224"/>
  <c r="G9" i="225"/>
  <c r="G12" i="224"/>
  <c r="J21" i="33"/>
  <c r="G22" i="191"/>
  <c r="G25" i="191"/>
  <c r="G27" i="191" s="1"/>
  <c r="F19" i="221"/>
  <c r="F9" i="222"/>
  <c r="F12" i="221"/>
  <c r="AC22" i="171"/>
  <c r="AA21" i="228"/>
  <c r="AC21" i="228" s="1"/>
  <c r="U21" i="228"/>
  <c r="AA12" i="165"/>
  <c r="AC12" i="165" s="1"/>
  <c r="C12" i="33"/>
  <c r="K12" i="33" s="1"/>
  <c r="H21" i="234"/>
  <c r="H13" i="234"/>
  <c r="H22" i="191"/>
  <c r="H25" i="191"/>
  <c r="H27" i="191" s="1"/>
  <c r="J19" i="191"/>
  <c r="J9" i="192"/>
  <c r="J9" i="221"/>
  <c r="J12" i="191"/>
  <c r="G19" i="223"/>
  <c r="G9" i="220"/>
  <c r="G12" i="223"/>
  <c r="M9" i="193"/>
  <c r="M38" i="41"/>
  <c r="M43" i="41" s="1"/>
  <c r="S44" i="162"/>
  <c r="U14" i="162"/>
  <c r="G22" i="187"/>
  <c r="G25" i="187"/>
  <c r="G27" i="187" s="1"/>
  <c r="B8" i="180"/>
  <c r="B8" i="223"/>
  <c r="B18" i="177"/>
  <c r="AA8" i="167"/>
  <c r="AC8" i="167" s="1"/>
  <c r="U8" i="167"/>
  <c r="AC20" i="166"/>
  <c r="K27" i="233"/>
  <c r="K29" i="233" s="1"/>
  <c r="K24" i="233"/>
  <c r="AE9" i="159"/>
  <c r="AG9" i="159" s="1"/>
  <c r="U9" i="159"/>
  <c r="AE29" i="159"/>
  <c r="AG29" i="159" s="1"/>
  <c r="U29" i="159"/>
  <c r="AA9" i="166"/>
  <c r="AC9" i="166" s="1"/>
  <c r="U9" i="166"/>
  <c r="R33" i="162"/>
  <c r="U33" i="162" s="1"/>
  <c r="Q33" i="162"/>
  <c r="R32" i="228"/>
  <c r="Q32" i="228"/>
  <c r="AE28" i="159"/>
  <c r="AG28" i="159" s="1"/>
  <c r="U28" i="159"/>
  <c r="F22" i="177"/>
  <c r="F25" i="177"/>
  <c r="F27" i="177" s="1"/>
  <c r="AA18" i="170"/>
  <c r="AC18" i="170" s="1"/>
  <c r="U18" i="170"/>
  <c r="AC22" i="167"/>
  <c r="B20" i="175"/>
  <c r="B9" i="199"/>
  <c r="AE8" i="159"/>
  <c r="AG8" i="159" s="1"/>
  <c r="U8" i="159"/>
  <c r="AA22" i="156"/>
  <c r="AC22" i="156" s="1"/>
  <c r="U22" i="156"/>
  <c r="AA22" i="154"/>
  <c r="AC22" i="154" s="1"/>
  <c r="U22" i="154"/>
  <c r="N20" i="175"/>
  <c r="N9" i="199"/>
  <c r="E25" i="33"/>
  <c r="Z39" i="169"/>
  <c r="J28" i="33"/>
  <c r="E17" i="33"/>
  <c r="C22" i="193"/>
  <c r="C25" i="193"/>
  <c r="C27" i="193" s="1"/>
  <c r="U11" i="168"/>
  <c r="AC11" i="173"/>
  <c r="AA9" i="165"/>
  <c r="AC9" i="165" s="1"/>
  <c r="C9" i="33"/>
  <c r="U9" i="165"/>
  <c r="S41" i="200"/>
  <c r="S40" i="200"/>
  <c r="U7" i="200"/>
  <c r="S41" i="91"/>
  <c r="S40" i="91"/>
  <c r="U7" i="91"/>
  <c r="U20" i="168"/>
  <c r="U26" i="167"/>
  <c r="AA29" i="232"/>
  <c r="AC29" i="232" s="1"/>
  <c r="U29" i="232"/>
  <c r="AA24" i="232"/>
  <c r="AC24" i="232" s="1"/>
  <c r="U24" i="232"/>
  <c r="U21" i="172"/>
  <c r="C8" i="33"/>
  <c r="K8" i="33" s="1"/>
  <c r="M8" i="33" s="1"/>
  <c r="AA8" i="165"/>
  <c r="AC8" i="165" s="1"/>
  <c r="U8" i="165"/>
  <c r="E19" i="180"/>
  <c r="E12" i="180"/>
  <c r="C24" i="33"/>
  <c r="K24" i="33" s="1"/>
  <c r="U10" i="170"/>
  <c r="U7" i="170"/>
  <c r="S39" i="166"/>
  <c r="U39" i="166" s="1"/>
  <c r="U41" i="166" s="1"/>
  <c r="AA7" i="166"/>
  <c r="AA39" i="166" s="1"/>
  <c r="C9" i="42" s="1"/>
  <c r="S42" i="91"/>
  <c r="U9" i="91"/>
  <c r="AA10" i="154"/>
  <c r="AC10" i="154" s="1"/>
  <c r="U10" i="154"/>
  <c r="F19" i="230"/>
  <c r="F12" i="230"/>
  <c r="AE27" i="159"/>
  <c r="AG27" i="159" s="1"/>
  <c r="U27" i="159"/>
  <c r="U26" i="168"/>
  <c r="AC26" i="171"/>
  <c r="AA14" i="232"/>
  <c r="S44" i="232"/>
  <c r="E10" i="233" s="1"/>
  <c r="U14" i="232"/>
  <c r="U12" i="169"/>
  <c r="M9" i="233"/>
  <c r="AC23" i="171"/>
  <c r="J29" i="33"/>
  <c r="M29" i="33" s="1"/>
  <c r="E29" i="33"/>
  <c r="AC28" i="168"/>
  <c r="AC28" i="170"/>
  <c r="AA9" i="154"/>
  <c r="AC9" i="154" s="1"/>
  <c r="U9" i="154"/>
  <c r="AC19" i="165"/>
  <c r="AA9" i="169"/>
  <c r="AC9" i="169" s="1"/>
  <c r="U9" i="169"/>
  <c r="U24" i="167"/>
  <c r="AA11" i="156"/>
  <c r="AC11" i="156" s="1"/>
  <c r="U11" i="156"/>
  <c r="U12" i="231"/>
  <c r="AA27" i="173"/>
  <c r="AC27" i="173" s="1"/>
  <c r="U27" i="173"/>
  <c r="AC24" i="166"/>
  <c r="AA21" i="154"/>
  <c r="AC21" i="154" s="1"/>
  <c r="U21" i="154"/>
  <c r="AC10" i="166"/>
  <c r="AA7" i="231"/>
  <c r="AA39" i="231" s="1"/>
  <c r="H9" i="42" s="1"/>
  <c r="S39" i="231"/>
  <c r="U39" i="231" s="1"/>
  <c r="U41" i="231" s="1"/>
  <c r="AA7" i="167"/>
  <c r="S39" i="167"/>
  <c r="U39" i="167" s="1"/>
  <c r="U41" i="167" s="1"/>
  <c r="S42" i="162"/>
  <c r="U9" i="162"/>
  <c r="AA13" i="232"/>
  <c r="AC13" i="232" s="1"/>
  <c r="U13" i="232"/>
  <c r="AA24" i="156"/>
  <c r="AC24" i="156" s="1"/>
  <c r="U24" i="156"/>
  <c r="U26" i="165"/>
  <c r="AA13" i="156"/>
  <c r="AC13" i="156" s="1"/>
  <c r="U13" i="156"/>
  <c r="U12" i="166"/>
  <c r="G22" i="229"/>
  <c r="G25" i="229"/>
  <c r="G27" i="229" s="1"/>
  <c r="I19" i="192"/>
  <c r="I12" i="192"/>
  <c r="AC20" i="170"/>
  <c r="J20" i="224"/>
  <c r="J9" i="225"/>
  <c r="J12" i="224"/>
  <c r="U12" i="167"/>
  <c r="AC28" i="169"/>
  <c r="AA10" i="232"/>
  <c r="AC10" i="232" s="1"/>
  <c r="U10" i="232"/>
  <c r="AA9" i="156"/>
  <c r="AC9" i="156" s="1"/>
  <c r="U9" i="156"/>
  <c r="AC19" i="169"/>
  <c r="P19" i="191"/>
  <c r="P9" i="192"/>
  <c r="P9" i="221"/>
  <c r="P12" i="191"/>
  <c r="AC21" i="173"/>
  <c r="U23" i="231"/>
  <c r="AA26" i="156"/>
  <c r="AC26" i="156" s="1"/>
  <c r="U26" i="156"/>
  <c r="AA26" i="154"/>
  <c r="AC26" i="154" s="1"/>
  <c r="U26" i="154"/>
  <c r="AC10" i="231"/>
  <c r="M20" i="33" l="1"/>
  <c r="Q44" i="154"/>
  <c r="E20" i="33"/>
  <c r="M24" i="33"/>
  <c r="E23" i="33"/>
  <c r="N41" i="156"/>
  <c r="Q41" i="156" s="1"/>
  <c r="Q46" i="156" s="1"/>
  <c r="E28" i="33"/>
  <c r="M26" i="33"/>
  <c r="E27" i="33"/>
  <c r="AA39" i="167"/>
  <c r="D9" i="42" s="1"/>
  <c r="E21" i="33"/>
  <c r="N40" i="200"/>
  <c r="Q40" i="200" s="1"/>
  <c r="Q46" i="200" s="1"/>
  <c r="E22" i="33"/>
  <c r="N8" i="221"/>
  <c r="N18" i="221" s="1"/>
  <c r="N41" i="160"/>
  <c r="Q41" i="160" s="1"/>
  <c r="Q46" i="160" s="1"/>
  <c r="M19" i="33"/>
  <c r="W6" i="82"/>
  <c r="W8" i="82" s="1"/>
  <c r="J7" i="82" s="1"/>
  <c r="AA39" i="171"/>
  <c r="I9" i="42" s="1"/>
  <c r="I9" i="196" s="1"/>
  <c r="AC7" i="165"/>
  <c r="E10" i="33"/>
  <c r="E11" i="33"/>
  <c r="N39" i="160"/>
  <c r="Q39" i="160" s="1"/>
  <c r="Q44" i="160" s="1"/>
  <c r="M11" i="33"/>
  <c r="H9" i="196"/>
  <c r="H20" i="42"/>
  <c r="H26" i="42" s="1"/>
  <c r="E21" i="233"/>
  <c r="E27" i="233" s="1"/>
  <c r="E10" i="234"/>
  <c r="E21" i="234" s="1"/>
  <c r="E27" i="234" s="1"/>
  <c r="C20" i="42"/>
  <c r="C26" i="42" s="1"/>
  <c r="C9" i="196"/>
  <c r="L10" i="174"/>
  <c r="B10" i="174"/>
  <c r="U41" i="91"/>
  <c r="U47" i="91" s="1"/>
  <c r="L10" i="201"/>
  <c r="B10" i="201"/>
  <c r="U41" i="200"/>
  <c r="U47" i="200" s="1"/>
  <c r="F8" i="42"/>
  <c r="B18" i="180"/>
  <c r="J19" i="221"/>
  <c r="J12" i="221"/>
  <c r="J9" i="222"/>
  <c r="G20" i="225"/>
  <c r="G12" i="225"/>
  <c r="R34" i="91"/>
  <c r="Q34" i="91"/>
  <c r="Q33" i="228"/>
  <c r="R33" i="228"/>
  <c r="K18" i="33"/>
  <c r="M18" i="33" s="1"/>
  <c r="E18" i="33"/>
  <c r="R34" i="154"/>
  <c r="Q34" i="154"/>
  <c r="N39" i="154"/>
  <c r="Q39" i="154" s="1"/>
  <c r="Q43" i="154" s="1"/>
  <c r="R34" i="159"/>
  <c r="Q34" i="159"/>
  <c r="K27" i="234"/>
  <c r="K29" i="234" s="1"/>
  <c r="K24" i="234"/>
  <c r="H20" i="225"/>
  <c r="H12" i="225"/>
  <c r="L26" i="201"/>
  <c r="B8" i="42"/>
  <c r="I19" i="222"/>
  <c r="I12" i="222"/>
  <c r="B18" i="192"/>
  <c r="AA39" i="173"/>
  <c r="K9" i="42" s="1"/>
  <c r="M28" i="33"/>
  <c r="R6" i="82"/>
  <c r="R8" i="82" s="1"/>
  <c r="E7" i="82" s="1"/>
  <c r="B18" i="194"/>
  <c r="K7" i="33"/>
  <c r="C39" i="33"/>
  <c r="E39" i="33" s="1"/>
  <c r="D19" i="224"/>
  <c r="D8" i="225"/>
  <c r="D20" i="202"/>
  <c r="M26" i="174"/>
  <c r="V6" i="82"/>
  <c r="V8" i="82" s="1"/>
  <c r="I7" i="82" s="1"/>
  <c r="C19" i="229"/>
  <c r="C25" i="229" s="1"/>
  <c r="C9" i="230"/>
  <c r="C19" i="230" s="1"/>
  <c r="C25" i="230" s="1"/>
  <c r="B9" i="187"/>
  <c r="U40" i="156"/>
  <c r="U45" i="156" s="1"/>
  <c r="E12" i="33"/>
  <c r="B24" i="190"/>
  <c r="G22" i="221"/>
  <c r="G25" i="221"/>
  <c r="G27" i="221" s="1"/>
  <c r="B20" i="202"/>
  <c r="B26" i="233"/>
  <c r="AC39" i="231"/>
  <c r="AC41" i="231" s="1"/>
  <c r="H8" i="42"/>
  <c r="AA41" i="232"/>
  <c r="AA40" i="232"/>
  <c r="P10" i="233" s="1"/>
  <c r="AC7" i="232"/>
  <c r="I23" i="224"/>
  <c r="I26" i="224"/>
  <c r="I28" i="224" s="1"/>
  <c r="O10" i="201"/>
  <c r="E10" i="201"/>
  <c r="M19" i="192"/>
  <c r="M12" i="192"/>
  <c r="G8" i="42"/>
  <c r="C9" i="223"/>
  <c r="C19" i="177"/>
  <c r="C25" i="177" s="1"/>
  <c r="C9" i="180"/>
  <c r="C19" i="180" s="1"/>
  <c r="C25" i="180" s="1"/>
  <c r="E19" i="33"/>
  <c r="C26" i="201"/>
  <c r="C26" i="174"/>
  <c r="AA42" i="232"/>
  <c r="AC9" i="232"/>
  <c r="L20" i="199"/>
  <c r="L26" i="199" s="1"/>
  <c r="F19" i="220"/>
  <c r="F12" i="220"/>
  <c r="Z33" i="232"/>
  <c r="U33" i="232"/>
  <c r="L19" i="184"/>
  <c r="L12" i="184"/>
  <c r="C19" i="224"/>
  <c r="C8" i="225"/>
  <c r="H22" i="221"/>
  <c r="H25" i="221"/>
  <c r="H27" i="221" s="1"/>
  <c r="AA39" i="169"/>
  <c r="F9" i="42" s="1"/>
  <c r="M22" i="33"/>
  <c r="G24" i="234"/>
  <c r="G27" i="234"/>
  <c r="G29" i="234" s="1"/>
  <c r="AA39" i="228"/>
  <c r="J9" i="229" s="1"/>
  <c r="AA40" i="228"/>
  <c r="AC7" i="228"/>
  <c r="P19" i="221"/>
  <c r="P12" i="221"/>
  <c r="P9" i="222"/>
  <c r="J20" i="225"/>
  <c r="J12" i="225"/>
  <c r="I22" i="192"/>
  <c r="I25" i="192"/>
  <c r="I27" i="192" s="1"/>
  <c r="D20" i="42"/>
  <c r="D26" i="42" s="1"/>
  <c r="D9" i="196"/>
  <c r="AA44" i="232"/>
  <c r="O10" i="233" s="1"/>
  <c r="AC14" i="232"/>
  <c r="S6" i="82"/>
  <c r="S8" i="82" s="1"/>
  <c r="F7" i="82" s="1"/>
  <c r="N20" i="199"/>
  <c r="N26" i="199" s="1"/>
  <c r="O10" i="175"/>
  <c r="E10" i="175"/>
  <c r="G19" i="220"/>
  <c r="G12" i="220"/>
  <c r="J19" i="192"/>
  <c r="J12" i="192"/>
  <c r="F19" i="222"/>
  <c r="F12" i="222"/>
  <c r="G23" i="224"/>
  <c r="G26" i="224"/>
  <c r="G28" i="224" s="1"/>
  <c r="L20" i="198"/>
  <c r="J39" i="33"/>
  <c r="X6" i="82"/>
  <c r="X8" i="82" s="1"/>
  <c r="K7" i="82" s="1"/>
  <c r="R33" i="156"/>
  <c r="Q33" i="156"/>
  <c r="R33" i="160"/>
  <c r="U33" i="160" s="1"/>
  <c r="Q33" i="160"/>
  <c r="Q34" i="232"/>
  <c r="R34" i="232"/>
  <c r="N44" i="232"/>
  <c r="Q44" i="232" s="1"/>
  <c r="Q50" i="232" s="1"/>
  <c r="N40" i="232"/>
  <c r="Q40" i="232" s="1"/>
  <c r="Q46" i="232" s="1"/>
  <c r="C19" i="187"/>
  <c r="C25" i="187" s="1"/>
  <c r="C9" i="194"/>
  <c r="C19" i="194" s="1"/>
  <c r="C25" i="194" s="1"/>
  <c r="E19" i="220"/>
  <c r="E12" i="220"/>
  <c r="R34" i="156"/>
  <c r="Q34" i="156"/>
  <c r="R35" i="162"/>
  <c r="U35" i="162" s="1"/>
  <c r="Q35" i="162"/>
  <c r="N44" i="162"/>
  <c r="Q44" i="162" s="1"/>
  <c r="Q50" i="162" s="1"/>
  <c r="D20" i="199"/>
  <c r="D26" i="199" s="1"/>
  <c r="F25" i="180"/>
  <c r="F27" i="180" s="1"/>
  <c r="F22" i="180"/>
  <c r="AC39" i="166"/>
  <c r="AC41" i="166" s="1"/>
  <c r="C8" i="42"/>
  <c r="M20" i="199"/>
  <c r="M26" i="199" s="1"/>
  <c r="H22" i="192"/>
  <c r="H25" i="192"/>
  <c r="H27" i="192" s="1"/>
  <c r="H23" i="224"/>
  <c r="H26" i="224"/>
  <c r="H28" i="224" s="1"/>
  <c r="AA39" i="170"/>
  <c r="G9" i="42" s="1"/>
  <c r="N20" i="233"/>
  <c r="N9" i="234"/>
  <c r="N8" i="224"/>
  <c r="M23" i="33"/>
  <c r="B24" i="191"/>
  <c r="E8" i="42"/>
  <c r="B24" i="187"/>
  <c r="AC31" i="156"/>
  <c r="I22" i="194"/>
  <c r="I25" i="194"/>
  <c r="I27" i="194" s="1"/>
  <c r="L19" i="221"/>
  <c r="L9" i="222"/>
  <c r="L12" i="221"/>
  <c r="F22" i="194"/>
  <c r="F25" i="194"/>
  <c r="F27" i="194" s="1"/>
  <c r="D20" i="234"/>
  <c r="M20" i="202"/>
  <c r="D26" i="201"/>
  <c r="B24" i="229"/>
  <c r="K22" i="191"/>
  <c r="K25" i="191"/>
  <c r="K27" i="191" s="1"/>
  <c r="I8" i="42"/>
  <c r="AA41" i="228"/>
  <c r="I9" i="229" s="1"/>
  <c r="AC11" i="228"/>
  <c r="AA40" i="156"/>
  <c r="AA39" i="156"/>
  <c r="M9" i="187" s="1"/>
  <c r="AC7" i="156"/>
  <c r="AA39" i="154"/>
  <c r="J9" i="177" s="1"/>
  <c r="AA40" i="154"/>
  <c r="AC7" i="154"/>
  <c r="K20" i="225"/>
  <c r="K12" i="225"/>
  <c r="Q6" i="82"/>
  <c r="Q8" i="82" s="1"/>
  <c r="D7" i="82" s="1"/>
  <c r="E19" i="190"/>
  <c r="E25" i="190" s="1"/>
  <c r="C9" i="221"/>
  <c r="E9" i="221"/>
  <c r="E9" i="189"/>
  <c r="E19" i="189" s="1"/>
  <c r="E25" i="189" s="1"/>
  <c r="B26" i="201"/>
  <c r="U6" i="82"/>
  <c r="U8" i="82" s="1"/>
  <c r="H7" i="82" s="1"/>
  <c r="AE39" i="159"/>
  <c r="Q9" i="191" s="1"/>
  <c r="AE40" i="159"/>
  <c r="AG7" i="159"/>
  <c r="H8" i="180"/>
  <c r="H8" i="223"/>
  <c r="H18" i="177"/>
  <c r="M22" i="191"/>
  <c r="M25" i="191"/>
  <c r="M27" i="191" s="1"/>
  <c r="T6" i="82"/>
  <c r="T8" i="82" s="1"/>
  <c r="G7" i="82" s="1"/>
  <c r="AA41" i="154"/>
  <c r="I9" i="177" s="1"/>
  <c r="AC11" i="154"/>
  <c r="L26" i="175"/>
  <c r="I19" i="184"/>
  <c r="I12" i="184"/>
  <c r="F22" i="223"/>
  <c r="F25" i="223"/>
  <c r="F27" i="223" s="1"/>
  <c r="AD32" i="159"/>
  <c r="U32" i="159"/>
  <c r="E22" i="184"/>
  <c r="E25" i="184"/>
  <c r="E27" i="184" s="1"/>
  <c r="H19" i="184"/>
  <c r="H12" i="184"/>
  <c r="C20" i="234"/>
  <c r="AA39" i="172"/>
  <c r="J9" i="42" s="1"/>
  <c r="P19" i="192"/>
  <c r="P12" i="192"/>
  <c r="J23" i="224"/>
  <c r="J26" i="224"/>
  <c r="J28" i="224" s="1"/>
  <c r="E22" i="180"/>
  <c r="E25" i="180"/>
  <c r="E27" i="180" s="1"/>
  <c r="K9" i="33"/>
  <c r="M9" i="33" s="1"/>
  <c r="E9" i="33"/>
  <c r="N26" i="175"/>
  <c r="B20" i="199"/>
  <c r="B26" i="199" s="1"/>
  <c r="Z32" i="228"/>
  <c r="U32" i="228"/>
  <c r="B24" i="177"/>
  <c r="G22" i="223"/>
  <c r="G25" i="223"/>
  <c r="G27" i="223" s="1"/>
  <c r="J25" i="191"/>
  <c r="J27" i="191" s="1"/>
  <c r="J22" i="191"/>
  <c r="H27" i="234"/>
  <c r="H29" i="234" s="1"/>
  <c r="H24" i="234"/>
  <c r="F22" i="221"/>
  <c r="F25" i="221"/>
  <c r="F27" i="221" s="1"/>
  <c r="J8" i="42"/>
  <c r="D10" i="233"/>
  <c r="U43" i="232"/>
  <c r="U49" i="232" s="1"/>
  <c r="L26" i="174"/>
  <c r="M21" i="33"/>
  <c r="K8" i="42"/>
  <c r="R33" i="154"/>
  <c r="Q33" i="154"/>
  <c r="N41" i="154"/>
  <c r="Q41" i="154" s="1"/>
  <c r="R33" i="159"/>
  <c r="Q33" i="159"/>
  <c r="N39" i="159"/>
  <c r="Q39" i="159" s="1"/>
  <c r="Q44" i="159" s="1"/>
  <c r="N41" i="159"/>
  <c r="Q41" i="159" s="1"/>
  <c r="Q46" i="159" s="1"/>
  <c r="N39" i="156"/>
  <c r="Q39" i="156" s="1"/>
  <c r="Q44" i="156" s="1"/>
  <c r="AE41" i="159"/>
  <c r="O9" i="191" s="1"/>
  <c r="AG21" i="159"/>
  <c r="AA41" i="156"/>
  <c r="K9" i="187" s="1"/>
  <c r="AC21" i="156"/>
  <c r="E22" i="223"/>
  <c r="E25" i="223"/>
  <c r="E27" i="223" s="1"/>
  <c r="R35" i="91"/>
  <c r="U35" i="91" s="1"/>
  <c r="Q35" i="91"/>
  <c r="N44" i="91"/>
  <c r="Q44" i="91" s="1"/>
  <c r="R34" i="228"/>
  <c r="Q34" i="228"/>
  <c r="N39" i="228"/>
  <c r="Q39" i="228" s="1"/>
  <c r="Q43" i="228" s="1"/>
  <c r="N20" i="202"/>
  <c r="C22" i="184"/>
  <c r="C25" i="184"/>
  <c r="C27" i="184" s="1"/>
  <c r="D26" i="175"/>
  <c r="I20" i="42"/>
  <c r="I26" i="42" s="1"/>
  <c r="P6" i="82"/>
  <c r="P8" i="82" s="1"/>
  <c r="C7" i="82" s="1"/>
  <c r="M26" i="175"/>
  <c r="G22" i="194"/>
  <c r="G25" i="194"/>
  <c r="G27" i="194" s="1"/>
  <c r="B20" i="198"/>
  <c r="I22" i="221"/>
  <c r="I25" i="221"/>
  <c r="I27" i="221" s="1"/>
  <c r="G19" i="184"/>
  <c r="G12" i="184"/>
  <c r="L19" i="192"/>
  <c r="L12" i="192"/>
  <c r="AA39" i="165"/>
  <c r="B9" i="42" s="1"/>
  <c r="D26" i="233"/>
  <c r="M26" i="201"/>
  <c r="K19" i="192"/>
  <c r="K12" i="192"/>
  <c r="E24" i="33"/>
  <c r="AC7" i="171"/>
  <c r="E19" i="187"/>
  <c r="E25" i="187" s="1"/>
  <c r="E9" i="194"/>
  <c r="E19" i="194" s="1"/>
  <c r="E25" i="194" s="1"/>
  <c r="D9" i="223"/>
  <c r="D9" i="180"/>
  <c r="D19" i="180" s="1"/>
  <c r="D25" i="180" s="1"/>
  <c r="D19" i="177"/>
  <c r="D25" i="177" s="1"/>
  <c r="K23" i="224"/>
  <c r="K26" i="224"/>
  <c r="K28" i="224" s="1"/>
  <c r="C20" i="199"/>
  <c r="C26" i="199" s="1"/>
  <c r="B18" i="221"/>
  <c r="B8" i="222"/>
  <c r="D8" i="42"/>
  <c r="AC39" i="167"/>
  <c r="AC41" i="167" s="1"/>
  <c r="B9" i="190"/>
  <c r="U40" i="160"/>
  <c r="U45" i="160" s="1"/>
  <c r="J24" i="234"/>
  <c r="J27" i="234"/>
  <c r="J29" i="234" s="1"/>
  <c r="B19" i="224"/>
  <c r="B8" i="225"/>
  <c r="AC7" i="231"/>
  <c r="B9" i="191"/>
  <c r="U40" i="159"/>
  <c r="U45" i="159" s="1"/>
  <c r="P10" i="175"/>
  <c r="F10" i="175"/>
  <c r="B10" i="233"/>
  <c r="U41" i="232"/>
  <c r="U47" i="232" s="1"/>
  <c r="AC7" i="170"/>
  <c r="AA39" i="168"/>
  <c r="E9" i="42" s="1"/>
  <c r="M10" i="33"/>
  <c r="I22" i="193"/>
  <c r="I25" i="193"/>
  <c r="I27" i="193" s="1"/>
  <c r="L22" i="193"/>
  <c r="L25" i="193"/>
  <c r="L27" i="193" s="1"/>
  <c r="C26" i="233"/>
  <c r="F22" i="192"/>
  <c r="F25" i="192"/>
  <c r="F27" i="192" s="1"/>
  <c r="G22" i="192"/>
  <c r="G25" i="192"/>
  <c r="G27" i="192" s="1"/>
  <c r="N10" i="175"/>
  <c r="D10" i="175"/>
  <c r="U43" i="162"/>
  <c r="U49" i="162" s="1"/>
  <c r="B9" i="229"/>
  <c r="U40" i="228"/>
  <c r="U44" i="228" s="1"/>
  <c r="N40" i="91"/>
  <c r="Q40" i="91" s="1"/>
  <c r="Q46" i="91" s="1"/>
  <c r="P22" i="191"/>
  <c r="P25" i="191"/>
  <c r="P27" i="191" s="1"/>
  <c r="M10" i="175"/>
  <c r="C10" i="175"/>
  <c r="U42" i="162"/>
  <c r="U48" i="162" s="1"/>
  <c r="M20" i="233"/>
  <c r="M9" i="234"/>
  <c r="M8" i="224"/>
  <c r="F22" i="230"/>
  <c r="F25" i="230"/>
  <c r="F27" i="230" s="1"/>
  <c r="M10" i="174"/>
  <c r="C10" i="174"/>
  <c r="U42" i="91"/>
  <c r="U48" i="91" s="1"/>
  <c r="P10" i="174"/>
  <c r="F10" i="174"/>
  <c r="P10" i="201"/>
  <c r="F10" i="201"/>
  <c r="B26" i="175"/>
  <c r="B18" i="223"/>
  <c r="B8" i="220"/>
  <c r="M19" i="193"/>
  <c r="M9" i="184"/>
  <c r="M12" i="193"/>
  <c r="AA43" i="232"/>
  <c r="AC12" i="232"/>
  <c r="K19" i="193"/>
  <c r="K12" i="193"/>
  <c r="K9" i="184"/>
  <c r="R34" i="200"/>
  <c r="Q34" i="200"/>
  <c r="R34" i="162"/>
  <c r="U34" i="162" s="1"/>
  <c r="Q34" i="162"/>
  <c r="N40" i="162"/>
  <c r="Q40" i="162" s="1"/>
  <c r="Q46" i="162" s="1"/>
  <c r="H18" i="229"/>
  <c r="H8" i="230"/>
  <c r="M10" i="201"/>
  <c r="C10" i="201"/>
  <c r="U42" i="200"/>
  <c r="U48" i="200" s="1"/>
  <c r="C19" i="191"/>
  <c r="C25" i="191" s="1"/>
  <c r="C9" i="192"/>
  <c r="C19" i="192" s="1"/>
  <c r="C25" i="192" s="1"/>
  <c r="Q35" i="200"/>
  <c r="R35" i="200"/>
  <c r="U35" i="200" s="1"/>
  <c r="N44" i="200"/>
  <c r="Q44" i="200" s="1"/>
  <c r="Q50" i="200" s="1"/>
  <c r="R34" i="160"/>
  <c r="U34" i="160" s="1"/>
  <c r="Q34" i="160"/>
  <c r="Q35" i="232"/>
  <c r="R35" i="232"/>
  <c r="N26" i="201"/>
  <c r="U32" i="160"/>
  <c r="AC7" i="166"/>
  <c r="L20" i="202"/>
  <c r="B26" i="174"/>
  <c r="G22" i="230"/>
  <c r="G25" i="230"/>
  <c r="G27" i="230" s="1"/>
  <c r="E26" i="33"/>
  <c r="G22" i="193"/>
  <c r="G25" i="193"/>
  <c r="G27" i="193" s="1"/>
  <c r="I27" i="234"/>
  <c r="I29" i="234" s="1"/>
  <c r="I24" i="234"/>
  <c r="L22" i="191"/>
  <c r="L25" i="191"/>
  <c r="L27" i="191" s="1"/>
  <c r="M20" i="198"/>
  <c r="B18" i="230"/>
  <c r="K19" i="221"/>
  <c r="K9" i="222"/>
  <c r="K12" i="221"/>
  <c r="B9" i="177"/>
  <c r="U40" i="154"/>
  <c r="U32" i="156"/>
  <c r="Z32" i="156"/>
  <c r="AC32" i="156" s="1"/>
  <c r="M12" i="33"/>
  <c r="C26" i="175"/>
  <c r="N18" i="191"/>
  <c r="N8" i="192"/>
  <c r="B18" i="189"/>
  <c r="AC7" i="167"/>
  <c r="L20" i="233"/>
  <c r="L9" i="234"/>
  <c r="L8" i="224"/>
  <c r="G22" i="180"/>
  <c r="G25" i="180"/>
  <c r="G27" i="180" s="1"/>
  <c r="G19" i="222"/>
  <c r="G12" i="222"/>
  <c r="J18" i="187"/>
  <c r="J8" i="194"/>
  <c r="B20" i="234"/>
  <c r="E19" i="191"/>
  <c r="E25" i="191" s="1"/>
  <c r="E9" i="192"/>
  <c r="E19" i="192" s="1"/>
  <c r="E25" i="192" s="1"/>
  <c r="L10" i="175"/>
  <c r="B10" i="175"/>
  <c r="U41" i="162"/>
  <c r="U47" i="162" s="1"/>
  <c r="F21" i="233"/>
  <c r="F27" i="233" s="1"/>
  <c r="F10" i="234"/>
  <c r="F21" i="234" s="1"/>
  <c r="F27" i="234" s="1"/>
  <c r="I20" i="225"/>
  <c r="I12" i="225"/>
  <c r="M19" i="221"/>
  <c r="M9" i="222"/>
  <c r="M12" i="221"/>
  <c r="C20" i="202"/>
  <c r="C20" i="198"/>
  <c r="C10" i="233"/>
  <c r="U42" i="232"/>
  <c r="U48" i="232" s="1"/>
  <c r="N10" i="201"/>
  <c r="D10" i="201"/>
  <c r="U43" i="200"/>
  <c r="U49" i="200" s="1"/>
  <c r="Z32" i="154"/>
  <c r="AC32" i="154" s="1"/>
  <c r="U32" i="154"/>
  <c r="AC32" i="232"/>
  <c r="H22" i="193"/>
  <c r="H25" i="193"/>
  <c r="H27" i="193" s="1"/>
  <c r="H19" i="222"/>
  <c r="H12" i="222"/>
  <c r="E8" i="33"/>
  <c r="D19" i="229"/>
  <c r="D25" i="229" s="1"/>
  <c r="D9" i="230"/>
  <c r="D19" i="230" s="1"/>
  <c r="D25" i="230" s="1"/>
  <c r="N41" i="228"/>
  <c r="Q41" i="228" s="1"/>
  <c r="Q45" i="228" s="1"/>
  <c r="D20" i="196" l="1"/>
  <c r="D26" i="196" s="1"/>
  <c r="I20" i="196"/>
  <c r="I26" i="196" s="1"/>
  <c r="C20" i="196"/>
  <c r="C26" i="196" s="1"/>
  <c r="H20" i="196"/>
  <c r="H26" i="196" s="1"/>
  <c r="N8" i="222"/>
  <c r="Q45" i="154"/>
  <c r="AC39" i="173"/>
  <c r="AC41" i="173" s="1"/>
  <c r="R39" i="228"/>
  <c r="U39" i="228" s="1"/>
  <c r="U43" i="228" s="1"/>
  <c r="AC39" i="171"/>
  <c r="AC41" i="171" s="1"/>
  <c r="R40" i="200"/>
  <c r="P9" i="201" s="1"/>
  <c r="R41" i="154"/>
  <c r="C8" i="177" s="1"/>
  <c r="F9" i="224"/>
  <c r="F9" i="225" s="1"/>
  <c r="U44" i="154"/>
  <c r="R44" i="200"/>
  <c r="R41" i="160"/>
  <c r="U41" i="160" s="1"/>
  <c r="U46" i="160" s="1"/>
  <c r="AC39" i="172"/>
  <c r="AC41" i="172" s="1"/>
  <c r="F9" i="201"/>
  <c r="M19" i="222"/>
  <c r="M12" i="222"/>
  <c r="H22" i="222"/>
  <c r="H25" i="222"/>
  <c r="H27" i="222" s="1"/>
  <c r="D21" i="201"/>
  <c r="D10" i="202"/>
  <c r="D13" i="201"/>
  <c r="L21" i="175"/>
  <c r="L10" i="199"/>
  <c r="L13" i="175"/>
  <c r="B26" i="234"/>
  <c r="N18" i="192"/>
  <c r="B19" i="177"/>
  <c r="B9" i="180"/>
  <c r="B9" i="223"/>
  <c r="B12" i="177"/>
  <c r="M19" i="184"/>
  <c r="M12" i="184"/>
  <c r="B24" i="223"/>
  <c r="P21" i="174"/>
  <c r="P27" i="174" s="1"/>
  <c r="P10" i="198"/>
  <c r="P21" i="198" s="1"/>
  <c r="P27" i="198" s="1"/>
  <c r="M20" i="234"/>
  <c r="M21" i="175"/>
  <c r="M10" i="199"/>
  <c r="M13" i="175"/>
  <c r="D21" i="175"/>
  <c r="D10" i="199"/>
  <c r="D13" i="175"/>
  <c r="P21" i="175"/>
  <c r="P27" i="175" s="1"/>
  <c r="P10" i="199"/>
  <c r="P21" i="199" s="1"/>
  <c r="D19" i="42"/>
  <c r="D12" i="42"/>
  <c r="D8" i="196"/>
  <c r="K22" i="192"/>
  <c r="K25" i="192"/>
  <c r="K27" i="192" s="1"/>
  <c r="U33" i="154"/>
  <c r="Z33" i="154"/>
  <c r="AC33" i="154" s="1"/>
  <c r="R39" i="154"/>
  <c r="B35" i="82"/>
  <c r="J20" i="42"/>
  <c r="J26" i="42" s="1"/>
  <c r="J9" i="196"/>
  <c r="H22" i="184"/>
  <c r="H25" i="184"/>
  <c r="H27" i="184" s="1"/>
  <c r="AG32" i="159"/>
  <c r="I22" i="184"/>
  <c r="I25" i="184"/>
  <c r="I27" i="184" s="1"/>
  <c r="I9" i="223"/>
  <c r="I19" i="177"/>
  <c r="I25" i="177" s="1"/>
  <c r="I9" i="180"/>
  <c r="I19" i="180" s="1"/>
  <c r="I25" i="180" s="1"/>
  <c r="E19" i="221"/>
  <c r="E25" i="221" s="1"/>
  <c r="E9" i="222"/>
  <c r="H9" i="177"/>
  <c r="AC40" i="154"/>
  <c r="J9" i="187"/>
  <c r="AC40" i="156"/>
  <c r="AC45" i="156" s="1"/>
  <c r="I19" i="42"/>
  <c r="I8" i="196"/>
  <c r="I12" i="42"/>
  <c r="M26" i="202"/>
  <c r="L22" i="221"/>
  <c r="L25" i="221"/>
  <c r="L27" i="221" s="1"/>
  <c r="E12" i="42"/>
  <c r="E8" i="196"/>
  <c r="E19" i="42"/>
  <c r="N26" i="233"/>
  <c r="C19" i="42"/>
  <c r="C8" i="196"/>
  <c r="C12" i="42"/>
  <c r="E22" i="220"/>
  <c r="E25" i="220"/>
  <c r="E27" i="220" s="1"/>
  <c r="E21" i="175"/>
  <c r="E27" i="175" s="1"/>
  <c r="E10" i="199"/>
  <c r="E21" i="199" s="1"/>
  <c r="P22" i="221"/>
  <c r="P25" i="221"/>
  <c r="P27" i="221" s="1"/>
  <c r="C19" i="225"/>
  <c r="G19" i="42"/>
  <c r="G8" i="196"/>
  <c r="G12" i="42"/>
  <c r="E21" i="201"/>
  <c r="E27" i="201" s="1"/>
  <c r="E10" i="202"/>
  <c r="E21" i="202" s="1"/>
  <c r="E27" i="202" s="1"/>
  <c r="E14" i="82"/>
  <c r="D19" i="225"/>
  <c r="K20" i="42"/>
  <c r="K26" i="42" s="1"/>
  <c r="K9" i="196"/>
  <c r="AD34" i="159"/>
  <c r="AG34" i="159" s="1"/>
  <c r="U34" i="159"/>
  <c r="J22" i="221"/>
  <c r="J25" i="221"/>
  <c r="J27" i="221" s="1"/>
  <c r="F19" i="42"/>
  <c r="F8" i="196"/>
  <c r="F12" i="42"/>
  <c r="L21" i="201"/>
  <c r="L10" i="202"/>
  <c r="L13" i="201"/>
  <c r="N10" i="202"/>
  <c r="N21" i="201"/>
  <c r="N13" i="201"/>
  <c r="C26" i="198"/>
  <c r="I23" i="225"/>
  <c r="I26" i="225"/>
  <c r="I28" i="225" s="1"/>
  <c r="G22" i="222"/>
  <c r="G25" i="222"/>
  <c r="G27" i="222" s="1"/>
  <c r="L19" i="224"/>
  <c r="L8" i="225"/>
  <c r="N24" i="191"/>
  <c r="B24" i="230"/>
  <c r="C21" i="201"/>
  <c r="C10" i="202"/>
  <c r="C13" i="201"/>
  <c r="H24" i="229"/>
  <c r="K22" i="193"/>
  <c r="K25" i="193"/>
  <c r="K27" i="193" s="1"/>
  <c r="M22" i="193"/>
  <c r="M25" i="193"/>
  <c r="M27" i="193" s="1"/>
  <c r="F21" i="201"/>
  <c r="F27" i="201" s="1"/>
  <c r="F10" i="202"/>
  <c r="F21" i="202" s="1"/>
  <c r="F27" i="202" s="1"/>
  <c r="M26" i="233"/>
  <c r="N21" i="175"/>
  <c r="N10" i="199"/>
  <c r="N13" i="175"/>
  <c r="B19" i="225"/>
  <c r="B20" i="42"/>
  <c r="B26" i="42" s="1"/>
  <c r="B9" i="196"/>
  <c r="B26" i="198"/>
  <c r="K19" i="187"/>
  <c r="K25" i="187" s="1"/>
  <c r="K9" i="194"/>
  <c r="K19" i="194" s="1"/>
  <c r="K25" i="194" s="1"/>
  <c r="U33" i="159"/>
  <c r="AD33" i="159"/>
  <c r="AG33" i="159" s="1"/>
  <c r="R39" i="159"/>
  <c r="R41" i="159"/>
  <c r="B21" i="82"/>
  <c r="K19" i="42"/>
  <c r="K12" i="42"/>
  <c r="K8" i="196"/>
  <c r="J19" i="42"/>
  <c r="J8" i="196"/>
  <c r="J12" i="42"/>
  <c r="H24" i="177"/>
  <c r="N9" i="191"/>
  <c r="AG40" i="159"/>
  <c r="AG45" i="159" s="1"/>
  <c r="C19" i="221"/>
  <c r="C25" i="221" s="1"/>
  <c r="C9" i="222"/>
  <c r="J9" i="223"/>
  <c r="J19" i="177"/>
  <c r="J25" i="177" s="1"/>
  <c r="J9" i="180"/>
  <c r="J19" i="180" s="1"/>
  <c r="J25" i="180" s="1"/>
  <c r="AC39" i="168"/>
  <c r="AC41" i="168" s="1"/>
  <c r="G20" i="42"/>
  <c r="G26" i="42" s="1"/>
  <c r="G9" i="196"/>
  <c r="L8" i="42"/>
  <c r="J22" i="192"/>
  <c r="J25" i="192"/>
  <c r="J27" i="192" s="1"/>
  <c r="O21" i="175"/>
  <c r="O27" i="175" s="1"/>
  <c r="O10" i="199"/>
  <c r="O21" i="199" s="1"/>
  <c r="J23" i="225"/>
  <c r="J26" i="225"/>
  <c r="J28" i="225" s="1"/>
  <c r="C25" i="224"/>
  <c r="AC33" i="232"/>
  <c r="AC39" i="170"/>
  <c r="AC41" i="170" s="1"/>
  <c r="O21" i="201"/>
  <c r="O27" i="201" s="1"/>
  <c r="O10" i="202"/>
  <c r="O21" i="202" s="1"/>
  <c r="O27" i="202" s="1"/>
  <c r="H19" i="42"/>
  <c r="H12" i="42"/>
  <c r="H8" i="196"/>
  <c r="D25" i="224"/>
  <c r="B24" i="194"/>
  <c r="R44" i="162"/>
  <c r="I22" i="222"/>
  <c r="I25" i="222"/>
  <c r="I27" i="222" s="1"/>
  <c r="G23" i="225"/>
  <c r="G26" i="225"/>
  <c r="G28" i="225" s="1"/>
  <c r="AC39" i="169"/>
  <c r="AC41" i="169" s="1"/>
  <c r="N24" i="221"/>
  <c r="O9" i="201"/>
  <c r="E9" i="201"/>
  <c r="U44" i="200"/>
  <c r="U50" i="200" s="1"/>
  <c r="J18" i="194"/>
  <c r="L20" i="234"/>
  <c r="B24" i="189"/>
  <c r="K19" i="222"/>
  <c r="K12" i="222"/>
  <c r="M21" i="201"/>
  <c r="M10" i="202"/>
  <c r="M13" i="201"/>
  <c r="U34" i="200"/>
  <c r="F14" i="82"/>
  <c r="P21" i="201"/>
  <c r="P27" i="201" s="1"/>
  <c r="P10" i="202"/>
  <c r="P21" i="202" s="1"/>
  <c r="P27" i="202" s="1"/>
  <c r="C21" i="174"/>
  <c r="C10" i="198"/>
  <c r="C13" i="174"/>
  <c r="B19" i="229"/>
  <c r="B9" i="230"/>
  <c r="B12" i="229"/>
  <c r="B21" i="233"/>
  <c r="B10" i="234"/>
  <c r="B9" i="224"/>
  <c r="B13" i="233"/>
  <c r="B19" i="191"/>
  <c r="B9" i="192"/>
  <c r="B12" i="191"/>
  <c r="B25" i="224"/>
  <c r="B19" i="190"/>
  <c r="B9" i="221"/>
  <c r="B9" i="189"/>
  <c r="B12" i="190"/>
  <c r="B18" i="222"/>
  <c r="D19" i="223"/>
  <c r="D25" i="223" s="1"/>
  <c r="D9" i="220"/>
  <c r="Z34" i="228"/>
  <c r="AC34" i="228" s="1"/>
  <c r="U34" i="228"/>
  <c r="AC32" i="228"/>
  <c r="P22" i="192"/>
  <c r="P25" i="192"/>
  <c r="P27" i="192" s="1"/>
  <c r="C26" i="234"/>
  <c r="H18" i="223"/>
  <c r="H8" i="220"/>
  <c r="Q19" i="191"/>
  <c r="Q25" i="191" s="1"/>
  <c r="Q9" i="192"/>
  <c r="Q19" i="192" s="1"/>
  <c r="Q25" i="192" s="1"/>
  <c r="Q9" i="221"/>
  <c r="K23" i="225"/>
  <c r="K26" i="225"/>
  <c r="K28" i="225" s="1"/>
  <c r="I19" i="229"/>
  <c r="I25" i="229" s="1"/>
  <c r="I9" i="230"/>
  <c r="I19" i="230" s="1"/>
  <c r="I25" i="230" s="1"/>
  <c r="D26" i="234"/>
  <c r="N19" i="224"/>
  <c r="N8" i="225"/>
  <c r="Z34" i="156"/>
  <c r="AC34" i="156" s="1"/>
  <c r="U34" i="156"/>
  <c r="Z34" i="232"/>
  <c r="U34" i="232"/>
  <c r="R44" i="232"/>
  <c r="B14" i="82"/>
  <c r="P19" i="222"/>
  <c r="P12" i="222"/>
  <c r="H9" i="229"/>
  <c r="AC40" i="228"/>
  <c r="AC44" i="228" s="1"/>
  <c r="P21" i="233"/>
  <c r="P27" i="233" s="1"/>
  <c r="P10" i="234"/>
  <c r="P21" i="234" s="1"/>
  <c r="P27" i="234" s="1"/>
  <c r="P9" i="224"/>
  <c r="B26" i="202"/>
  <c r="D26" i="202"/>
  <c r="B19" i="42"/>
  <c r="B12" i="42"/>
  <c r="B8" i="196"/>
  <c r="M8" i="42"/>
  <c r="U34" i="91"/>
  <c r="D14" i="82"/>
  <c r="R40" i="91"/>
  <c r="J19" i="222"/>
  <c r="J12" i="222"/>
  <c r="B24" i="180"/>
  <c r="B21" i="174"/>
  <c r="B10" i="198"/>
  <c r="B13" i="174"/>
  <c r="E9" i="224"/>
  <c r="D28" i="82"/>
  <c r="C21" i="233"/>
  <c r="C10" i="234"/>
  <c r="C9" i="224"/>
  <c r="C13" i="233"/>
  <c r="C26" i="202"/>
  <c r="M22" i="221"/>
  <c r="M25" i="221"/>
  <c r="M27" i="221" s="1"/>
  <c r="B21" i="175"/>
  <c r="B10" i="199"/>
  <c r="B13" i="175"/>
  <c r="J24" i="187"/>
  <c r="L26" i="233"/>
  <c r="K22" i="221"/>
  <c r="K25" i="221"/>
  <c r="K27" i="221" s="1"/>
  <c r="M26" i="198"/>
  <c r="Y6" i="82"/>
  <c r="Y8" i="82" s="1"/>
  <c r="O8" i="82"/>
  <c r="B7" i="82" s="1"/>
  <c r="L7" i="82" s="1"/>
  <c r="L26" i="202"/>
  <c r="R39" i="160"/>
  <c r="U35" i="232"/>
  <c r="Z35" i="232"/>
  <c r="AC35" i="232" s="1"/>
  <c r="H18" i="230"/>
  <c r="K19" i="184"/>
  <c r="K12" i="184"/>
  <c r="N10" i="233"/>
  <c r="AC43" i="232"/>
  <c r="AC49" i="232" s="1"/>
  <c r="B18" i="220"/>
  <c r="F21" i="174"/>
  <c r="F27" i="174" s="1"/>
  <c r="F10" i="198"/>
  <c r="F21" i="198" s="1"/>
  <c r="F27" i="198" s="1"/>
  <c r="M21" i="174"/>
  <c r="M10" i="198"/>
  <c r="M13" i="174"/>
  <c r="M19" i="224"/>
  <c r="M8" i="225"/>
  <c r="C21" i="175"/>
  <c r="C10" i="199"/>
  <c r="C13" i="175"/>
  <c r="R40" i="232"/>
  <c r="E9" i="196"/>
  <c r="E20" i="42"/>
  <c r="E26" i="42" s="1"/>
  <c r="F21" i="175"/>
  <c r="F27" i="175" s="1"/>
  <c r="F10" i="199"/>
  <c r="F21" i="199" s="1"/>
  <c r="B24" i="221"/>
  <c r="L22" i="192"/>
  <c r="L25" i="192"/>
  <c r="L27" i="192" s="1"/>
  <c r="G25" i="184"/>
  <c r="G27" i="184" s="1"/>
  <c r="G22" i="184"/>
  <c r="N26" i="202"/>
  <c r="O19" i="191"/>
  <c r="O25" i="191" s="1"/>
  <c r="O9" i="192"/>
  <c r="O19" i="192" s="1"/>
  <c r="O25" i="192" s="1"/>
  <c r="O9" i="221"/>
  <c r="D21" i="233"/>
  <c r="D10" i="234"/>
  <c r="D9" i="224"/>
  <c r="D13" i="233"/>
  <c r="R44" i="91"/>
  <c r="U44" i="91" s="1"/>
  <c r="H18" i="180"/>
  <c r="M19" i="187"/>
  <c r="M25" i="187" s="1"/>
  <c r="M9" i="194"/>
  <c r="M19" i="194" s="1"/>
  <c r="M25" i="194" s="1"/>
  <c r="R40" i="162"/>
  <c r="L19" i="222"/>
  <c r="L12" i="222"/>
  <c r="N20" i="234"/>
  <c r="U33" i="156"/>
  <c r="Z33" i="156"/>
  <c r="AC33" i="156" s="1"/>
  <c r="E21" i="82"/>
  <c r="R39" i="156"/>
  <c r="R41" i="156"/>
  <c r="L26" i="198"/>
  <c r="F22" i="222"/>
  <c r="F25" i="222"/>
  <c r="F27" i="222" s="1"/>
  <c r="G22" i="220"/>
  <c r="G25" i="220"/>
  <c r="G27" i="220" s="1"/>
  <c r="O21" i="233"/>
  <c r="O27" i="233" s="1"/>
  <c r="O10" i="234"/>
  <c r="O21" i="234" s="1"/>
  <c r="O27" i="234" s="1"/>
  <c r="O9" i="224"/>
  <c r="J19" i="229"/>
  <c r="J25" i="229" s="1"/>
  <c r="J9" i="230"/>
  <c r="J19" i="230" s="1"/>
  <c r="J25" i="230" s="1"/>
  <c r="F20" i="42"/>
  <c r="F26" i="42" s="1"/>
  <c r="F9" i="196"/>
  <c r="L22" i="184"/>
  <c r="L25" i="184"/>
  <c r="L27" i="184" s="1"/>
  <c r="F22" i="220"/>
  <c r="F25" i="220"/>
  <c r="F27" i="220" s="1"/>
  <c r="M10" i="233"/>
  <c r="AC42" i="232"/>
  <c r="AC48" i="232" s="1"/>
  <c r="C19" i="223"/>
  <c r="C25" i="223" s="1"/>
  <c r="C9" i="220"/>
  <c r="M25" i="192"/>
  <c r="M27" i="192" s="1"/>
  <c r="M22" i="192"/>
  <c r="L10" i="233"/>
  <c r="AC41" i="232"/>
  <c r="AC47" i="232" s="1"/>
  <c r="B19" i="187"/>
  <c r="B9" i="194"/>
  <c r="B12" i="187"/>
  <c r="M7" i="33"/>
  <c r="K39" i="33"/>
  <c r="L9" i="42" s="1"/>
  <c r="B24" i="192"/>
  <c r="AC39" i="165"/>
  <c r="AC41" i="165" s="1"/>
  <c r="H23" i="225"/>
  <c r="H26" i="225"/>
  <c r="H28" i="225" s="1"/>
  <c r="Z34" i="154"/>
  <c r="AC34" i="154" s="1"/>
  <c r="U34" i="154"/>
  <c r="Z33" i="228"/>
  <c r="U33" i="228"/>
  <c r="R41" i="228"/>
  <c r="B21" i="201"/>
  <c r="B10" i="202"/>
  <c r="B13" i="201"/>
  <c r="L21" i="174"/>
  <c r="L10" i="198"/>
  <c r="L13" i="174"/>
  <c r="D35" i="82"/>
  <c r="F20" i="225" l="1"/>
  <c r="F26" i="225" s="1"/>
  <c r="C19" i="222"/>
  <c r="C25" i="222" s="1"/>
  <c r="E20" i="196"/>
  <c r="E26" i="196" s="1"/>
  <c r="J20" i="196"/>
  <c r="J26" i="196" s="1"/>
  <c r="E19" i="222"/>
  <c r="E25" i="222" s="1"/>
  <c r="C19" i="220"/>
  <c r="C25" i="220" s="1"/>
  <c r="F20" i="196"/>
  <c r="F26" i="196" s="1"/>
  <c r="D19" i="220"/>
  <c r="D25" i="220" s="1"/>
  <c r="G20" i="196"/>
  <c r="G26" i="196" s="1"/>
  <c r="K20" i="196"/>
  <c r="K26" i="196" s="1"/>
  <c r="N18" i="222"/>
  <c r="N9" i="221"/>
  <c r="D8" i="229"/>
  <c r="U40" i="200"/>
  <c r="U46" i="200" s="1"/>
  <c r="F20" i="224"/>
  <c r="F26" i="224" s="1"/>
  <c r="U41" i="154"/>
  <c r="U45" i="154" s="1"/>
  <c r="Z41" i="156"/>
  <c r="K8" i="187" s="1"/>
  <c r="Z44" i="232"/>
  <c r="O9" i="233" s="1"/>
  <c r="L27" i="174"/>
  <c r="L29" i="174" s="1"/>
  <c r="L24" i="174"/>
  <c r="O20" i="224"/>
  <c r="O26" i="224" s="1"/>
  <c r="O9" i="225"/>
  <c r="N21" i="233"/>
  <c r="N10" i="234"/>
  <c r="N9" i="224"/>
  <c r="N13" i="233"/>
  <c r="H24" i="230"/>
  <c r="B21" i="202"/>
  <c r="B13" i="202"/>
  <c r="AC33" i="228"/>
  <c r="Z41" i="228"/>
  <c r="L9" i="196"/>
  <c r="L20" i="42"/>
  <c r="L26" i="42" s="1"/>
  <c r="B25" i="187"/>
  <c r="B27" i="187" s="1"/>
  <c r="B22" i="187"/>
  <c r="E8" i="187"/>
  <c r="U39" i="156"/>
  <c r="U44" i="156" s="1"/>
  <c r="L25" i="222"/>
  <c r="L27" i="222" s="1"/>
  <c r="L22" i="222"/>
  <c r="H24" i="180"/>
  <c r="O19" i="221"/>
  <c r="O25" i="221" s="1"/>
  <c r="O9" i="222"/>
  <c r="F27" i="199"/>
  <c r="F9" i="233"/>
  <c r="U40" i="232"/>
  <c r="U46" i="232" s="1"/>
  <c r="M21" i="198"/>
  <c r="M13" i="198"/>
  <c r="C27" i="233"/>
  <c r="C29" i="233" s="1"/>
  <c r="C24" i="233"/>
  <c r="B21" i="198"/>
  <c r="B13" i="198"/>
  <c r="B23" i="42"/>
  <c r="B25" i="42"/>
  <c r="B28" i="42" s="1"/>
  <c r="G14" i="82"/>
  <c r="B19" i="189"/>
  <c r="B12" i="189"/>
  <c r="M21" i="202"/>
  <c r="M13" i="202"/>
  <c r="K22" i="222"/>
  <c r="K25" i="222"/>
  <c r="K27" i="222" s="1"/>
  <c r="L26" i="234"/>
  <c r="E8" i="191"/>
  <c r="U39" i="159"/>
  <c r="U44" i="159" s="1"/>
  <c r="B20" i="196"/>
  <c r="B26" i="196" s="1"/>
  <c r="B25" i="225"/>
  <c r="N27" i="175"/>
  <c r="N29" i="175" s="1"/>
  <c r="N24" i="175"/>
  <c r="C21" i="202"/>
  <c r="C13" i="202"/>
  <c r="L19" i="225"/>
  <c r="N21" i="202"/>
  <c r="N13" i="202"/>
  <c r="F19" i="196"/>
  <c r="F12" i="196"/>
  <c r="E27" i="199"/>
  <c r="C23" i="42"/>
  <c r="C25" i="42"/>
  <c r="C28" i="42" s="1"/>
  <c r="E12" i="196"/>
  <c r="E19" i="196"/>
  <c r="I19" i="196"/>
  <c r="I12" i="196"/>
  <c r="AC44" i="154"/>
  <c r="M26" i="234"/>
  <c r="B25" i="177"/>
  <c r="B27" i="177" s="1"/>
  <c r="B22" i="177"/>
  <c r="D18" i="229"/>
  <c r="D12" i="229"/>
  <c r="D8" i="230"/>
  <c r="L21" i="198"/>
  <c r="L13" i="198"/>
  <c r="N26" i="234"/>
  <c r="P9" i="175"/>
  <c r="F9" i="175"/>
  <c r="U40" i="162"/>
  <c r="U46" i="162" s="1"/>
  <c r="D20" i="224"/>
  <c r="D9" i="225"/>
  <c r="D12" i="224"/>
  <c r="M19" i="225"/>
  <c r="M27" i="174"/>
  <c r="M29" i="174" s="1"/>
  <c r="M24" i="174"/>
  <c r="B24" i="220"/>
  <c r="K22" i="184"/>
  <c r="K25" i="184"/>
  <c r="K27" i="184" s="1"/>
  <c r="B21" i="199"/>
  <c r="B13" i="199"/>
  <c r="B27" i="174"/>
  <c r="B29" i="174" s="1"/>
  <c r="B24" i="174"/>
  <c r="J22" i="222"/>
  <c r="J25" i="222"/>
  <c r="J27" i="222" s="1"/>
  <c r="H19" i="229"/>
  <c r="H9" i="230"/>
  <c r="H12" i="229"/>
  <c r="E9" i="233"/>
  <c r="U44" i="232"/>
  <c r="U50" i="232" s="1"/>
  <c r="N19" i="225"/>
  <c r="Z39" i="228"/>
  <c r="B24" i="222"/>
  <c r="B19" i="221"/>
  <c r="B9" i="222"/>
  <c r="B12" i="221"/>
  <c r="B20" i="224"/>
  <c r="B9" i="225"/>
  <c r="B12" i="224"/>
  <c r="B19" i="230"/>
  <c r="B12" i="230"/>
  <c r="C21" i="198"/>
  <c r="C13" i="198"/>
  <c r="M27" i="201"/>
  <c r="M29" i="201" s="1"/>
  <c r="M24" i="201"/>
  <c r="E20" i="201"/>
  <c r="E9" i="202"/>
  <c r="E13" i="201"/>
  <c r="H23" i="42"/>
  <c r="H25" i="42"/>
  <c r="H28" i="42" s="1"/>
  <c r="J19" i="196"/>
  <c r="J12" i="196"/>
  <c r="K23" i="42"/>
  <c r="K25" i="42"/>
  <c r="K28" i="42" s="1"/>
  <c r="C27" i="201"/>
  <c r="C29" i="201" s="1"/>
  <c r="C24" i="201"/>
  <c r="L25" i="224"/>
  <c r="L21" i="202"/>
  <c r="L13" i="202"/>
  <c r="F23" i="42"/>
  <c r="F25" i="42"/>
  <c r="F28" i="42" s="1"/>
  <c r="D25" i="225"/>
  <c r="C25" i="225"/>
  <c r="I23" i="42"/>
  <c r="I25" i="42"/>
  <c r="I28" i="42" s="1"/>
  <c r="H9" i="223"/>
  <c r="H19" i="177"/>
  <c r="H9" i="180"/>
  <c r="H12" i="177"/>
  <c r="D23" i="42"/>
  <c r="D25" i="42"/>
  <c r="D28" i="42" s="1"/>
  <c r="M21" i="199"/>
  <c r="M13" i="199"/>
  <c r="C8" i="180"/>
  <c r="C18" i="177"/>
  <c r="C12" i="177"/>
  <c r="D21" i="234"/>
  <c r="D13" i="234"/>
  <c r="C21" i="199"/>
  <c r="C13" i="199"/>
  <c r="M25" i="224"/>
  <c r="B27" i="175"/>
  <c r="B29" i="175" s="1"/>
  <c r="B24" i="175"/>
  <c r="C20" i="224"/>
  <c r="C9" i="225"/>
  <c r="C12" i="224"/>
  <c r="E20" i="224"/>
  <c r="E26" i="224" s="1"/>
  <c r="E9" i="225"/>
  <c r="P9" i="174"/>
  <c r="F9" i="174"/>
  <c r="U40" i="91"/>
  <c r="U46" i="91" s="1"/>
  <c r="B19" i="196"/>
  <c r="B12" i="196"/>
  <c r="N25" i="224"/>
  <c r="Q19" i="221"/>
  <c r="Q25" i="221" s="1"/>
  <c r="Q9" i="222"/>
  <c r="H18" i="220"/>
  <c r="B25" i="190"/>
  <c r="B27" i="190" s="1"/>
  <c r="B22" i="190"/>
  <c r="B19" i="192"/>
  <c r="B12" i="192"/>
  <c r="B21" i="234"/>
  <c r="B13" i="234"/>
  <c r="B25" i="229"/>
  <c r="B27" i="229" s="1"/>
  <c r="B22" i="229"/>
  <c r="C27" i="174"/>
  <c r="C29" i="174" s="1"/>
  <c r="C24" i="174"/>
  <c r="J24" i="194"/>
  <c r="O20" i="201"/>
  <c r="O9" i="202"/>
  <c r="O13" i="201"/>
  <c r="O9" i="175"/>
  <c r="E9" i="175"/>
  <c r="U44" i="162"/>
  <c r="U50" i="162" s="1"/>
  <c r="O27" i="199"/>
  <c r="M39" i="33"/>
  <c r="J23" i="42"/>
  <c r="J25" i="42"/>
  <c r="J28" i="42" s="1"/>
  <c r="E28" i="82"/>
  <c r="N24" i="222"/>
  <c r="L27" i="201"/>
  <c r="L29" i="201" s="1"/>
  <c r="L24" i="201"/>
  <c r="G19" i="196"/>
  <c r="G12" i="196"/>
  <c r="Z39" i="156"/>
  <c r="AD41" i="159"/>
  <c r="F35" i="82"/>
  <c r="Z41" i="154"/>
  <c r="P27" i="199"/>
  <c r="D21" i="199"/>
  <c r="D13" i="199"/>
  <c r="M27" i="175"/>
  <c r="M29" i="175" s="1"/>
  <c r="M24" i="175"/>
  <c r="M25" i="184"/>
  <c r="M27" i="184" s="1"/>
  <c r="M22" i="184"/>
  <c r="B19" i="223"/>
  <c r="B9" i="220"/>
  <c r="B12" i="223"/>
  <c r="N24" i="192"/>
  <c r="L21" i="199"/>
  <c r="L13" i="199"/>
  <c r="D21" i="202"/>
  <c r="D13" i="202"/>
  <c r="M22" i="222"/>
  <c r="M25" i="222"/>
  <c r="M27" i="222" s="1"/>
  <c r="F20" i="201"/>
  <c r="F9" i="202"/>
  <c r="F13" i="201"/>
  <c r="B27" i="201"/>
  <c r="B29" i="201" s="1"/>
  <c r="B24" i="201"/>
  <c r="M21" i="233"/>
  <c r="M10" i="234"/>
  <c r="M9" i="224"/>
  <c r="M13" i="233"/>
  <c r="C8" i="229"/>
  <c r="U41" i="228"/>
  <c r="U45" i="228" s="1"/>
  <c r="B19" i="194"/>
  <c r="B12" i="194"/>
  <c r="L21" i="233"/>
  <c r="L10" i="234"/>
  <c r="L9" i="224"/>
  <c r="L13" i="233"/>
  <c r="C8" i="187"/>
  <c r="U41" i="156"/>
  <c r="U46" i="156" s="1"/>
  <c r="D27" i="233"/>
  <c r="D29" i="233" s="1"/>
  <c r="D24" i="233"/>
  <c r="C27" i="175"/>
  <c r="C29" i="175" s="1"/>
  <c r="C24" i="175"/>
  <c r="E8" i="190"/>
  <c r="U39" i="160"/>
  <c r="U44" i="160" s="1"/>
  <c r="C21" i="234"/>
  <c r="C13" i="234"/>
  <c r="P20" i="224"/>
  <c r="P26" i="224" s="1"/>
  <c r="P9" i="225"/>
  <c r="P22" i="222"/>
  <c r="P25" i="222"/>
  <c r="P27" i="222" s="1"/>
  <c r="AC34" i="232"/>
  <c r="Z40" i="232"/>
  <c r="H24" i="223"/>
  <c r="N19" i="221"/>
  <c r="N9" i="222"/>
  <c r="N12" i="221"/>
  <c r="B25" i="191"/>
  <c r="B27" i="191" s="1"/>
  <c r="B22" i="191"/>
  <c r="B27" i="233"/>
  <c r="B29" i="233" s="1"/>
  <c r="B24" i="233"/>
  <c r="H19" i="196"/>
  <c r="H12" i="196"/>
  <c r="L19" i="42"/>
  <c r="L8" i="196"/>
  <c r="L12" i="42"/>
  <c r="M12" i="42" s="1"/>
  <c r="J19" i="223"/>
  <c r="J25" i="223" s="1"/>
  <c r="J9" i="220"/>
  <c r="N19" i="191"/>
  <c r="N9" i="192"/>
  <c r="N12" i="191"/>
  <c r="K19" i="196"/>
  <c r="K12" i="196"/>
  <c r="C8" i="191"/>
  <c r="U41" i="159"/>
  <c r="U46" i="159" s="1"/>
  <c r="M9" i="42"/>
  <c r="N21" i="199"/>
  <c r="N13" i="199"/>
  <c r="N27" i="201"/>
  <c r="N29" i="201" s="1"/>
  <c r="N24" i="201"/>
  <c r="G23" i="42"/>
  <c r="G25" i="42"/>
  <c r="G28" i="42" s="1"/>
  <c r="C19" i="196"/>
  <c r="C12" i="196"/>
  <c r="E25" i="42"/>
  <c r="E28" i="42" s="1"/>
  <c r="E23" i="42"/>
  <c r="J19" i="187"/>
  <c r="J9" i="194"/>
  <c r="J12" i="187"/>
  <c r="I19" i="223"/>
  <c r="I25" i="223" s="1"/>
  <c r="I9" i="220"/>
  <c r="AD39" i="159"/>
  <c r="D8" i="177"/>
  <c r="U39" i="154"/>
  <c r="U43" i="154" s="1"/>
  <c r="D19" i="196"/>
  <c r="D12" i="196"/>
  <c r="D27" i="175"/>
  <c r="D29" i="175" s="1"/>
  <c r="D24" i="175"/>
  <c r="Z39" i="154"/>
  <c r="B19" i="180"/>
  <c r="B12" i="180"/>
  <c r="L27" i="175"/>
  <c r="L29" i="175" s="1"/>
  <c r="L24" i="175"/>
  <c r="D27" i="201"/>
  <c r="D29" i="201" s="1"/>
  <c r="D24" i="201"/>
  <c r="P20" i="201"/>
  <c r="P9" i="202"/>
  <c r="P13" i="201"/>
  <c r="E20" i="225" l="1"/>
  <c r="E26" i="225" s="1"/>
  <c r="I19" i="220"/>
  <c r="I25" i="220" s="1"/>
  <c r="J19" i="220"/>
  <c r="J25" i="220" s="1"/>
  <c r="Q19" i="222"/>
  <c r="Q25" i="222" s="1"/>
  <c r="P20" i="225"/>
  <c r="P26" i="225" s="1"/>
  <c r="O19" i="222"/>
  <c r="O25" i="222" s="1"/>
  <c r="O20" i="225"/>
  <c r="O26" i="225" s="1"/>
  <c r="AC41" i="156"/>
  <c r="AC46" i="156" s="1"/>
  <c r="M8" i="196"/>
  <c r="L20" i="196"/>
  <c r="L26" i="196" s="1"/>
  <c r="M9" i="196"/>
  <c r="AC44" i="232"/>
  <c r="AC50" i="232" s="1"/>
  <c r="L25" i="42"/>
  <c r="L28" i="42" s="1"/>
  <c r="L23" i="42"/>
  <c r="L20" i="224"/>
  <c r="L9" i="225"/>
  <c r="L12" i="224"/>
  <c r="B25" i="194"/>
  <c r="B27" i="194" s="1"/>
  <c r="B22" i="194"/>
  <c r="M20" i="224"/>
  <c r="M9" i="225"/>
  <c r="M12" i="224"/>
  <c r="I8" i="177"/>
  <c r="AC41" i="154"/>
  <c r="AC45" i="154" s="1"/>
  <c r="G23" i="196"/>
  <c r="G25" i="196"/>
  <c r="G28" i="196" s="1"/>
  <c r="B25" i="192"/>
  <c r="B27" i="192" s="1"/>
  <c r="B22" i="192"/>
  <c r="B25" i="196"/>
  <c r="B28" i="196" s="1"/>
  <c r="B23" i="196"/>
  <c r="C26" i="224"/>
  <c r="C28" i="224" s="1"/>
  <c r="C23" i="224"/>
  <c r="H25" i="177"/>
  <c r="H27" i="177" s="1"/>
  <c r="H22" i="177"/>
  <c r="L27" i="202"/>
  <c r="L29" i="202" s="1"/>
  <c r="L24" i="202"/>
  <c r="B26" i="224"/>
  <c r="B28" i="224" s="1"/>
  <c r="B23" i="224"/>
  <c r="D26" i="224"/>
  <c r="D28" i="224" s="1"/>
  <c r="D23" i="224"/>
  <c r="L27" i="198"/>
  <c r="L29" i="198" s="1"/>
  <c r="L24" i="198"/>
  <c r="I25" i="196"/>
  <c r="I28" i="196" s="1"/>
  <c r="I23" i="196"/>
  <c r="M27" i="202"/>
  <c r="M29" i="202" s="1"/>
  <c r="M24" i="202"/>
  <c r="M27" i="198"/>
  <c r="M29" i="198" s="1"/>
  <c r="M24" i="198"/>
  <c r="N27" i="233"/>
  <c r="N29" i="233" s="1"/>
  <c r="N24" i="233"/>
  <c r="B25" i="180"/>
  <c r="B27" i="180" s="1"/>
  <c r="B22" i="180"/>
  <c r="K23" i="196"/>
  <c r="K25" i="196"/>
  <c r="K28" i="196" s="1"/>
  <c r="H23" i="196"/>
  <c r="H25" i="196"/>
  <c r="H28" i="196" s="1"/>
  <c r="N25" i="221"/>
  <c r="N27" i="221" s="1"/>
  <c r="N22" i="221"/>
  <c r="L24" i="199"/>
  <c r="L27" i="199"/>
  <c r="L29" i="199" s="1"/>
  <c r="D24" i="199"/>
  <c r="D27" i="199"/>
  <c r="D29" i="199" s="1"/>
  <c r="M8" i="187"/>
  <c r="AC39" i="156"/>
  <c r="AC44" i="156" s="1"/>
  <c r="O20" i="202"/>
  <c r="O13" i="202"/>
  <c r="H24" i="220"/>
  <c r="H35" i="82"/>
  <c r="C24" i="199"/>
  <c r="C27" i="199"/>
  <c r="C29" i="199" s="1"/>
  <c r="D27" i="234"/>
  <c r="D29" i="234" s="1"/>
  <c r="D24" i="234"/>
  <c r="C24" i="177"/>
  <c r="C27" i="177" s="1"/>
  <c r="C22" i="177"/>
  <c r="H19" i="223"/>
  <c r="H9" i="220"/>
  <c r="H12" i="223"/>
  <c r="E20" i="202"/>
  <c r="E13" i="202"/>
  <c r="B25" i="230"/>
  <c r="B27" i="230" s="1"/>
  <c r="B22" i="230"/>
  <c r="N25" i="225"/>
  <c r="H19" i="230"/>
  <c r="H12" i="230"/>
  <c r="D18" i="230"/>
  <c r="D12" i="230"/>
  <c r="E25" i="196"/>
  <c r="E28" i="196" s="1"/>
  <c r="E23" i="196"/>
  <c r="F23" i="196"/>
  <c r="F25" i="196"/>
  <c r="F28" i="196" s="1"/>
  <c r="L25" i="225"/>
  <c r="E18" i="191"/>
  <c r="E8" i="192"/>
  <c r="E12" i="191"/>
  <c r="E18" i="187"/>
  <c r="E8" i="194"/>
  <c r="E12" i="187"/>
  <c r="D8" i="223"/>
  <c r="D8" i="180"/>
  <c r="D18" i="177"/>
  <c r="D12" i="177"/>
  <c r="C27" i="234"/>
  <c r="C29" i="234" s="1"/>
  <c r="C24" i="234"/>
  <c r="P20" i="202"/>
  <c r="P13" i="202"/>
  <c r="Q8" i="191"/>
  <c r="AG39" i="159"/>
  <c r="AG44" i="159" s="1"/>
  <c r="C18" i="187"/>
  <c r="C8" i="194"/>
  <c r="C12" i="187"/>
  <c r="N24" i="199"/>
  <c r="N27" i="199"/>
  <c r="N29" i="199" s="1"/>
  <c r="C18" i="191"/>
  <c r="C8" i="192"/>
  <c r="C12" i="191"/>
  <c r="N19" i="192"/>
  <c r="N12" i="192"/>
  <c r="L27" i="233"/>
  <c r="L29" i="233" s="1"/>
  <c r="L24" i="233"/>
  <c r="C18" i="229"/>
  <c r="C12" i="229"/>
  <c r="C8" i="230"/>
  <c r="M27" i="233"/>
  <c r="M29" i="233" s="1"/>
  <c r="M24" i="233"/>
  <c r="F20" i="202"/>
  <c r="F13" i="202"/>
  <c r="B25" i="223"/>
  <c r="B27" i="223" s="1"/>
  <c r="B22" i="223"/>
  <c r="E20" i="175"/>
  <c r="E9" i="199"/>
  <c r="E13" i="175"/>
  <c r="O26" i="201"/>
  <c r="O29" i="201" s="1"/>
  <c r="O24" i="201"/>
  <c r="B27" i="234"/>
  <c r="B29" i="234" s="1"/>
  <c r="B24" i="234"/>
  <c r="F20" i="174"/>
  <c r="F9" i="198"/>
  <c r="F13" i="174"/>
  <c r="C18" i="180"/>
  <c r="C12" i="180"/>
  <c r="M24" i="199"/>
  <c r="M27" i="199"/>
  <c r="M29" i="199" s="1"/>
  <c r="E26" i="201"/>
  <c r="E29" i="201" s="1"/>
  <c r="E24" i="201"/>
  <c r="B19" i="222"/>
  <c r="B12" i="222"/>
  <c r="H25" i="229"/>
  <c r="H27" i="229" s="1"/>
  <c r="H22" i="229"/>
  <c r="F20" i="175"/>
  <c r="F9" i="199"/>
  <c r="F13" i="175"/>
  <c r="F20" i="233"/>
  <c r="F9" i="234"/>
  <c r="F8" i="224"/>
  <c r="F13" i="233"/>
  <c r="B27" i="202"/>
  <c r="B29" i="202" s="1"/>
  <c r="B24" i="202"/>
  <c r="N20" i="224"/>
  <c r="N9" i="225"/>
  <c r="N12" i="224"/>
  <c r="C25" i="196"/>
  <c r="C28" i="196" s="1"/>
  <c r="C23" i="196"/>
  <c r="P9" i="233"/>
  <c r="AC40" i="232"/>
  <c r="AC46" i="232" s="1"/>
  <c r="J8" i="177"/>
  <c r="AC39" i="154"/>
  <c r="AC43" i="154" s="1"/>
  <c r="L21" i="234"/>
  <c r="L13" i="234"/>
  <c r="M21" i="234"/>
  <c r="M13" i="234"/>
  <c r="B19" i="220"/>
  <c r="B12" i="220"/>
  <c r="P26" i="201"/>
  <c r="P29" i="201" s="1"/>
  <c r="P24" i="201"/>
  <c r="D23" i="196"/>
  <c r="D25" i="196"/>
  <c r="D28" i="196" s="1"/>
  <c r="J19" i="194"/>
  <c r="J12" i="194"/>
  <c r="J25" i="187"/>
  <c r="J27" i="187" s="1"/>
  <c r="J22" i="187"/>
  <c r="N25" i="191"/>
  <c r="N27" i="191" s="1"/>
  <c r="N22" i="191"/>
  <c r="L19" i="196"/>
  <c r="L12" i="196"/>
  <c r="M12" i="196" s="1"/>
  <c r="N19" i="222"/>
  <c r="N12" i="222"/>
  <c r="E18" i="190"/>
  <c r="C8" i="221"/>
  <c r="E8" i="221"/>
  <c r="E8" i="189"/>
  <c r="E12" i="190"/>
  <c r="F26" i="201"/>
  <c r="F29" i="201" s="1"/>
  <c r="F24" i="201"/>
  <c r="D27" i="202"/>
  <c r="D29" i="202" s="1"/>
  <c r="D24" i="202"/>
  <c r="O8" i="191"/>
  <c r="AG41" i="159"/>
  <c r="AG46" i="159" s="1"/>
  <c r="O20" i="175"/>
  <c r="O9" i="199"/>
  <c r="O13" i="175"/>
  <c r="P20" i="174"/>
  <c r="P9" i="198"/>
  <c r="P13" i="174"/>
  <c r="C20" i="225"/>
  <c r="C12" i="225"/>
  <c r="K18" i="187"/>
  <c r="K8" i="194"/>
  <c r="K12" i="187"/>
  <c r="C8" i="223"/>
  <c r="H19" i="180"/>
  <c r="H12" i="180"/>
  <c r="J23" i="196"/>
  <c r="J25" i="196"/>
  <c r="J28" i="196" s="1"/>
  <c r="C27" i="198"/>
  <c r="C29" i="198" s="1"/>
  <c r="C24" i="198"/>
  <c r="B20" i="225"/>
  <c r="B12" i="225"/>
  <c r="B25" i="221"/>
  <c r="B27" i="221" s="1"/>
  <c r="B22" i="221"/>
  <c r="J8" i="229"/>
  <c r="AC39" i="228"/>
  <c r="AC43" i="228" s="1"/>
  <c r="E20" i="233"/>
  <c r="E9" i="234"/>
  <c r="E8" i="224"/>
  <c r="E13" i="233"/>
  <c r="B24" i="199"/>
  <c r="B27" i="199"/>
  <c r="B29" i="199" s="1"/>
  <c r="M25" i="225"/>
  <c r="D20" i="225"/>
  <c r="D12" i="225"/>
  <c r="P20" i="175"/>
  <c r="P9" i="199"/>
  <c r="P13" i="175"/>
  <c r="D22" i="229"/>
  <c r="D24" i="229"/>
  <c r="D27" i="229" s="1"/>
  <c r="N27" i="202"/>
  <c r="N29" i="202" s="1"/>
  <c r="N24" i="202"/>
  <c r="C27" i="202"/>
  <c r="C29" i="202" s="1"/>
  <c r="C24" i="202"/>
  <c r="B25" i="189"/>
  <c r="B27" i="189" s="1"/>
  <c r="B22" i="189"/>
  <c r="B27" i="198"/>
  <c r="B29" i="198" s="1"/>
  <c r="B24" i="198"/>
  <c r="I8" i="229"/>
  <c r="AC41" i="228"/>
  <c r="AC45" i="228" s="1"/>
  <c r="N21" i="234"/>
  <c r="N13" i="234"/>
  <c r="O20" i="233"/>
  <c r="O9" i="234"/>
  <c r="O8" i="224"/>
  <c r="O13" i="233"/>
  <c r="Q8" i="221" l="1"/>
  <c r="Q12" i="221" s="1"/>
  <c r="H47" i="82"/>
  <c r="F36" i="82" s="1"/>
  <c r="O19" i="224"/>
  <c r="O8" i="225"/>
  <c r="O12" i="224"/>
  <c r="O20" i="234"/>
  <c r="O13" i="234"/>
  <c r="P20" i="199"/>
  <c r="P13" i="199"/>
  <c r="E26" i="233"/>
  <c r="E29" i="233" s="1"/>
  <c r="E24" i="233"/>
  <c r="H25" i="180"/>
  <c r="H27" i="180" s="1"/>
  <c r="H22" i="180"/>
  <c r="K18" i="194"/>
  <c r="K12" i="194"/>
  <c r="O18" i="191"/>
  <c r="O8" i="221"/>
  <c r="O8" i="192"/>
  <c r="O12" i="191"/>
  <c r="E24" i="190"/>
  <c r="E27" i="190" s="1"/>
  <c r="E22" i="190"/>
  <c r="B25" i="220"/>
  <c r="B27" i="220" s="1"/>
  <c r="B22" i="220"/>
  <c r="L27" i="234"/>
  <c r="L29" i="234" s="1"/>
  <c r="L24" i="234"/>
  <c r="J8" i="223"/>
  <c r="J18" i="177"/>
  <c r="J8" i="180"/>
  <c r="J12" i="177"/>
  <c r="N26" i="224"/>
  <c r="N28" i="224" s="1"/>
  <c r="N23" i="224"/>
  <c r="F26" i="233"/>
  <c r="F29" i="233" s="1"/>
  <c r="F24" i="233"/>
  <c r="E26" i="175"/>
  <c r="E29" i="175" s="1"/>
  <c r="E24" i="175"/>
  <c r="F26" i="202"/>
  <c r="F29" i="202" s="1"/>
  <c r="F24" i="202"/>
  <c r="C24" i="191"/>
  <c r="C27" i="191" s="1"/>
  <c r="C22" i="191"/>
  <c r="Q18" i="191"/>
  <c r="Q8" i="192"/>
  <c r="Q12" i="191"/>
  <c r="D18" i="180"/>
  <c r="D12" i="180"/>
  <c r="D22" i="230"/>
  <c r="D24" i="230"/>
  <c r="D27" i="230" s="1"/>
  <c r="L26" i="224"/>
  <c r="L28" i="224" s="1"/>
  <c r="L23" i="224"/>
  <c r="P26" i="175"/>
  <c r="P29" i="175" s="1"/>
  <c r="P24" i="175"/>
  <c r="K24" i="187"/>
  <c r="K27" i="187" s="1"/>
  <c r="K22" i="187"/>
  <c r="P20" i="198"/>
  <c r="P13" i="198"/>
  <c r="O20" i="199"/>
  <c r="O13" i="199"/>
  <c r="E18" i="189"/>
  <c r="E12" i="189"/>
  <c r="L25" i="196"/>
  <c r="L28" i="196" s="1"/>
  <c r="L23" i="196"/>
  <c r="J25" i="194"/>
  <c r="J27" i="194" s="1"/>
  <c r="J22" i="194"/>
  <c r="F20" i="199"/>
  <c r="F13" i="199"/>
  <c r="F20" i="198"/>
  <c r="F13" i="198"/>
  <c r="C22" i="229"/>
  <c r="C24" i="229"/>
  <c r="C27" i="229" s="1"/>
  <c r="N25" i="192"/>
  <c r="N27" i="192" s="1"/>
  <c r="N22" i="192"/>
  <c r="D18" i="223"/>
  <c r="D8" i="220"/>
  <c r="D12" i="223"/>
  <c r="E18" i="194"/>
  <c r="E12" i="194"/>
  <c r="E26" i="202"/>
  <c r="E29" i="202" s="1"/>
  <c r="E24" i="202"/>
  <c r="H19" i="220"/>
  <c r="H12" i="220"/>
  <c r="M18" i="187"/>
  <c r="M8" i="194"/>
  <c r="M12" i="187"/>
  <c r="O26" i="233"/>
  <c r="O29" i="233" s="1"/>
  <c r="O24" i="233"/>
  <c r="I18" i="229"/>
  <c r="I12" i="229"/>
  <c r="I8" i="230"/>
  <c r="E19" i="224"/>
  <c r="E8" i="225"/>
  <c r="E12" i="224"/>
  <c r="J18" i="229"/>
  <c r="J12" i="229"/>
  <c r="J8" i="230"/>
  <c r="B26" i="225"/>
  <c r="B28" i="225" s="1"/>
  <c r="B23" i="225"/>
  <c r="C18" i="223"/>
  <c r="C8" i="220"/>
  <c r="C12" i="223"/>
  <c r="P26" i="174"/>
  <c r="P29" i="174" s="1"/>
  <c r="P24" i="174"/>
  <c r="O26" i="175"/>
  <c r="O29" i="175" s="1"/>
  <c r="O24" i="175"/>
  <c r="E18" i="221"/>
  <c r="E8" i="222"/>
  <c r="E12" i="221"/>
  <c r="N25" i="222"/>
  <c r="N27" i="222" s="1"/>
  <c r="N22" i="222"/>
  <c r="M27" i="234"/>
  <c r="M29" i="234" s="1"/>
  <c r="M24" i="234"/>
  <c r="P20" i="233"/>
  <c r="P9" i="234"/>
  <c r="P8" i="224"/>
  <c r="P13" i="233"/>
  <c r="F19" i="224"/>
  <c r="F8" i="225"/>
  <c r="F12" i="224"/>
  <c r="F26" i="175"/>
  <c r="F29" i="175" s="1"/>
  <c r="F24" i="175"/>
  <c r="B25" i="222"/>
  <c r="B27" i="222" s="1"/>
  <c r="B22" i="222"/>
  <c r="C24" i="180"/>
  <c r="C27" i="180" s="1"/>
  <c r="C22" i="180"/>
  <c r="F26" i="174"/>
  <c r="F29" i="174" s="1"/>
  <c r="F24" i="174"/>
  <c r="C18" i="194"/>
  <c r="C12" i="194"/>
  <c r="P26" i="202"/>
  <c r="P29" i="202" s="1"/>
  <c r="P24" i="202"/>
  <c r="E24" i="187"/>
  <c r="E27" i="187" s="1"/>
  <c r="E22" i="187"/>
  <c r="E18" i="192"/>
  <c r="E12" i="192"/>
  <c r="H25" i="223"/>
  <c r="H27" i="223" s="1"/>
  <c r="H22" i="223"/>
  <c r="O26" i="202"/>
  <c r="O29" i="202" s="1"/>
  <c r="O24" i="202"/>
  <c r="M20" i="225"/>
  <c r="M12" i="225"/>
  <c r="N27" i="234"/>
  <c r="N29" i="234" s="1"/>
  <c r="N24" i="234"/>
  <c r="D26" i="225"/>
  <c r="D28" i="225" s="1"/>
  <c r="D23" i="225"/>
  <c r="E20" i="234"/>
  <c r="E13" i="234"/>
  <c r="C26" i="225"/>
  <c r="C28" i="225" s="1"/>
  <c r="C23" i="225"/>
  <c r="C18" i="221"/>
  <c r="C8" i="222"/>
  <c r="C12" i="221"/>
  <c r="N20" i="225"/>
  <c r="N12" i="225"/>
  <c r="F20" i="234"/>
  <c r="F13" i="234"/>
  <c r="E20" i="199"/>
  <c r="E13" i="199"/>
  <c r="C18" i="230"/>
  <c r="C12" i="230"/>
  <c r="C18" i="192"/>
  <c r="C12" i="192"/>
  <c r="C24" i="187"/>
  <c r="C27" i="187" s="1"/>
  <c r="C22" i="187"/>
  <c r="D24" i="177"/>
  <c r="D27" i="177" s="1"/>
  <c r="D22" i="177"/>
  <c r="E24" i="191"/>
  <c r="E27" i="191" s="1"/>
  <c r="E22" i="191"/>
  <c r="H25" i="230"/>
  <c r="H27" i="230" s="1"/>
  <c r="H22" i="230"/>
  <c r="I8" i="223"/>
  <c r="I8" i="180"/>
  <c r="I18" i="177"/>
  <c r="I12" i="177"/>
  <c r="M26" i="224"/>
  <c r="M28" i="224" s="1"/>
  <c r="M23" i="224"/>
  <c r="L20" i="225"/>
  <c r="L12" i="225"/>
  <c r="E15" i="82" l="1"/>
  <c r="P7" i="55" s="1"/>
  <c r="P10" i="55" s="1"/>
  <c r="P13" i="55" s="1"/>
  <c r="P17" i="55" s="1"/>
  <c r="P20" i="55" s="1"/>
  <c r="C31" i="175" s="1"/>
  <c r="C29" i="82"/>
  <c r="Y7" i="55" s="1"/>
  <c r="Y10" i="55" s="1"/>
  <c r="Y13" i="55" s="1"/>
  <c r="Y17" i="55" s="1"/>
  <c r="Y20" i="55" s="1"/>
  <c r="H29" i="193" s="1"/>
  <c r="Q8" i="222"/>
  <c r="E22" i="82"/>
  <c r="V7" i="55" s="1"/>
  <c r="V10" i="55" s="1"/>
  <c r="V13" i="55" s="1"/>
  <c r="V17" i="55" s="1"/>
  <c r="V20" i="55" s="1"/>
  <c r="C29" i="187" s="1"/>
  <c r="C29" i="194" s="1"/>
  <c r="C31" i="194" s="1"/>
  <c r="C15" i="82"/>
  <c r="N7" i="55" s="1"/>
  <c r="N10" i="55" s="1"/>
  <c r="N13" i="55" s="1"/>
  <c r="N17" i="55" s="1"/>
  <c r="N20" i="55" s="1"/>
  <c r="J31" i="233" s="1"/>
  <c r="F8" i="82"/>
  <c r="F7" i="55" s="1"/>
  <c r="F10" i="55" s="1"/>
  <c r="F13" i="55" s="1"/>
  <c r="F17" i="55" s="1"/>
  <c r="F20" i="55" s="1"/>
  <c r="F30" i="42" s="1"/>
  <c r="F30" i="196" s="1"/>
  <c r="B22" i="82"/>
  <c r="S7" i="55" s="1"/>
  <c r="S10" i="55" s="1"/>
  <c r="S13" i="55" s="1"/>
  <c r="S17" i="55" s="1"/>
  <c r="S20" i="55" s="1"/>
  <c r="C8" i="82"/>
  <c r="C7" i="55" s="1"/>
  <c r="C10" i="55" s="1"/>
  <c r="C13" i="55" s="1"/>
  <c r="C17" i="55" s="1"/>
  <c r="C20" i="55" s="1"/>
  <c r="C30" i="42" s="1"/>
  <c r="C30" i="196" s="1"/>
  <c r="Q18" i="221"/>
  <c r="Q24" i="221" s="1"/>
  <c r="Q27" i="221" s="1"/>
  <c r="L8" i="82"/>
  <c r="F15" i="82"/>
  <c r="Q7" i="55" s="1"/>
  <c r="Q10" i="55" s="1"/>
  <c r="Q13" i="55" s="1"/>
  <c r="Q17" i="55" s="1"/>
  <c r="Q20" i="55" s="1"/>
  <c r="F31" i="201" s="1"/>
  <c r="D15" i="82"/>
  <c r="O7" i="55" s="1"/>
  <c r="O10" i="55" s="1"/>
  <c r="O13" i="55" s="1"/>
  <c r="O17" i="55" s="1"/>
  <c r="O20" i="55" s="1"/>
  <c r="B31" i="174" s="1"/>
  <c r="H8" i="82"/>
  <c r="H7" i="55" s="1"/>
  <c r="H10" i="55" s="1"/>
  <c r="H13" i="55" s="1"/>
  <c r="H17" i="55" s="1"/>
  <c r="H20" i="55" s="1"/>
  <c r="H30" i="42" s="1"/>
  <c r="H34" i="42" s="1"/>
  <c r="K8" i="82"/>
  <c r="K7" i="55" s="1"/>
  <c r="K10" i="55" s="1"/>
  <c r="K13" i="55" s="1"/>
  <c r="K17" i="55" s="1"/>
  <c r="K20" i="55" s="1"/>
  <c r="K30" i="42" s="1"/>
  <c r="K30" i="196" s="1"/>
  <c r="C36" i="82"/>
  <c r="AC7" i="55" s="1"/>
  <c r="AC10" i="55" s="1"/>
  <c r="AC13" i="55" s="1"/>
  <c r="AC17" i="55" s="1"/>
  <c r="AC20" i="55" s="1"/>
  <c r="G29" i="177" s="1"/>
  <c r="E36" i="82"/>
  <c r="AE7" i="55" s="1"/>
  <c r="AE10" i="55" s="1"/>
  <c r="AE13" i="55" s="1"/>
  <c r="AE17" i="55" s="1"/>
  <c r="AE20" i="55" s="1"/>
  <c r="G29" i="229" s="1"/>
  <c r="D29" i="82"/>
  <c r="Z7" i="55" s="1"/>
  <c r="Z10" i="55" s="1"/>
  <c r="Z13" i="55" s="1"/>
  <c r="Z17" i="55" s="1"/>
  <c r="Z20" i="55" s="1"/>
  <c r="B29" i="190" s="1"/>
  <c r="B15" i="82"/>
  <c r="M7" i="55" s="1"/>
  <c r="M10" i="55" s="1"/>
  <c r="M13" i="55" s="1"/>
  <c r="M17" i="55" s="1"/>
  <c r="M20" i="55" s="1"/>
  <c r="I8" i="82"/>
  <c r="I7" i="55" s="1"/>
  <c r="I10" i="55" s="1"/>
  <c r="I13" i="55" s="1"/>
  <c r="I17" i="55" s="1"/>
  <c r="I20" i="55" s="1"/>
  <c r="I30" i="42" s="1"/>
  <c r="I30" i="196" s="1"/>
  <c r="G8" i="82"/>
  <c r="G7" i="55" s="1"/>
  <c r="G10" i="55" s="1"/>
  <c r="G13" i="55" s="1"/>
  <c r="G17" i="55" s="1"/>
  <c r="G20" i="55" s="1"/>
  <c r="G30" i="42" s="1"/>
  <c r="G34" i="42" s="1"/>
  <c r="J8" i="82"/>
  <c r="J7" i="55" s="1"/>
  <c r="J10" i="55" s="1"/>
  <c r="J13" i="55" s="1"/>
  <c r="J17" i="55" s="1"/>
  <c r="J20" i="55" s="1"/>
  <c r="J30" i="42" s="1"/>
  <c r="J30" i="196" s="1"/>
  <c r="C22" i="82"/>
  <c r="T7" i="55" s="1"/>
  <c r="T10" i="55" s="1"/>
  <c r="T13" i="55" s="1"/>
  <c r="T17" i="55" s="1"/>
  <c r="T20" i="55" s="1"/>
  <c r="G29" i="191" s="1"/>
  <c r="F22" i="82"/>
  <c r="W7" i="55" s="1"/>
  <c r="W10" i="55" s="1"/>
  <c r="W13" i="55" s="1"/>
  <c r="W17" i="55" s="1"/>
  <c r="W20" i="55" s="1"/>
  <c r="I29" i="187" s="1"/>
  <c r="E29" i="82"/>
  <c r="B36" i="82"/>
  <c r="AB7" i="55" s="1"/>
  <c r="AB10" i="55" s="1"/>
  <c r="AB13" i="55" s="1"/>
  <c r="AB17" i="55" s="1"/>
  <c r="AB20" i="55" s="1"/>
  <c r="D36" i="82"/>
  <c r="AD7" i="55" s="1"/>
  <c r="AD10" i="55" s="1"/>
  <c r="AD13" i="55" s="1"/>
  <c r="AD17" i="55" s="1"/>
  <c r="AD20" i="55" s="1"/>
  <c r="AD23" i="55" s="1"/>
  <c r="E8" i="82"/>
  <c r="E7" i="55" s="1"/>
  <c r="E10" i="55" s="1"/>
  <c r="E13" i="55" s="1"/>
  <c r="E17" i="55" s="1"/>
  <c r="E20" i="55" s="1"/>
  <c r="E30" i="42" s="1"/>
  <c r="E30" i="196" s="1"/>
  <c r="D8" i="82"/>
  <c r="D7" i="55" s="1"/>
  <c r="D10" i="55" s="1"/>
  <c r="D13" i="55" s="1"/>
  <c r="D17" i="55" s="1"/>
  <c r="D20" i="55" s="1"/>
  <c r="D30" i="42" s="1"/>
  <c r="D30" i="196" s="1"/>
  <c r="D22" i="82"/>
  <c r="U7" i="55" s="1"/>
  <c r="U10" i="55" s="1"/>
  <c r="U13" i="55" s="1"/>
  <c r="U17" i="55" s="1"/>
  <c r="U20" i="55" s="1"/>
  <c r="M29" i="191" s="1"/>
  <c r="B29" i="82"/>
  <c r="X7" i="55" s="1"/>
  <c r="X10" i="55" s="1"/>
  <c r="X13" i="55" s="1"/>
  <c r="X17" i="55" s="1"/>
  <c r="X20" i="55" s="1"/>
  <c r="E29" i="193" s="1"/>
  <c r="B8" i="82"/>
  <c r="B7" i="55" s="1"/>
  <c r="B10" i="55" s="1"/>
  <c r="B13" i="55" s="1"/>
  <c r="B17" i="55" s="1"/>
  <c r="B20" i="55" s="1"/>
  <c r="B30" i="42" s="1"/>
  <c r="G15" i="82"/>
  <c r="L26" i="225"/>
  <c r="L28" i="225" s="1"/>
  <c r="L23" i="225"/>
  <c r="I24" i="177"/>
  <c r="I27" i="177" s="1"/>
  <c r="I22" i="177"/>
  <c r="C22" i="230"/>
  <c r="C24" i="230"/>
  <c r="C27" i="230" s="1"/>
  <c r="F26" i="234"/>
  <c r="F29" i="234" s="1"/>
  <c r="F24" i="234"/>
  <c r="M26" i="225"/>
  <c r="M28" i="225" s="1"/>
  <c r="M23" i="225"/>
  <c r="F25" i="224"/>
  <c r="F28" i="224" s="1"/>
  <c r="F23" i="224"/>
  <c r="P26" i="233"/>
  <c r="P29" i="233" s="1"/>
  <c r="P24" i="233"/>
  <c r="E24" i="221"/>
  <c r="E27" i="221" s="1"/>
  <c r="E22" i="221"/>
  <c r="J22" i="229"/>
  <c r="J24" i="229"/>
  <c r="J27" i="229" s="1"/>
  <c r="I18" i="230"/>
  <c r="I12" i="230"/>
  <c r="M24" i="187"/>
  <c r="M27" i="187" s="1"/>
  <c r="M22" i="187"/>
  <c r="Q24" i="191"/>
  <c r="Q27" i="191" s="1"/>
  <c r="Q22" i="191"/>
  <c r="J18" i="223"/>
  <c r="J8" i="220"/>
  <c r="J12" i="223"/>
  <c r="O18" i="221"/>
  <c r="O8" i="222"/>
  <c r="O12" i="221"/>
  <c r="O26" i="234"/>
  <c r="O29" i="234" s="1"/>
  <c r="O24" i="234"/>
  <c r="I18" i="180"/>
  <c r="I12" i="180"/>
  <c r="C24" i="192"/>
  <c r="C27" i="192" s="1"/>
  <c r="C22" i="192"/>
  <c r="C18" i="222"/>
  <c r="C12" i="222"/>
  <c r="E24" i="192"/>
  <c r="E27" i="192" s="1"/>
  <c r="E22" i="192"/>
  <c r="D31" i="175"/>
  <c r="D18" i="220"/>
  <c r="D12" i="220"/>
  <c r="F26" i="198"/>
  <c r="F29" i="198" s="1"/>
  <c r="F24" i="198"/>
  <c r="O26" i="199"/>
  <c r="O29" i="199" s="1"/>
  <c r="O24" i="199"/>
  <c r="D24" i="180"/>
  <c r="D27" i="180" s="1"/>
  <c r="D22" i="180"/>
  <c r="O24" i="191"/>
  <c r="O27" i="191" s="1"/>
  <c r="O22" i="191"/>
  <c r="I18" i="223"/>
  <c r="I8" i="220"/>
  <c r="I12" i="223"/>
  <c r="E26" i="199"/>
  <c r="E29" i="199" s="1"/>
  <c r="E24" i="199"/>
  <c r="N26" i="225"/>
  <c r="N28" i="225" s="1"/>
  <c r="N23" i="225"/>
  <c r="C24" i="221"/>
  <c r="C27" i="221" s="1"/>
  <c r="C22" i="221"/>
  <c r="E26" i="234"/>
  <c r="E29" i="234" s="1"/>
  <c r="E24" i="234"/>
  <c r="P19" i="224"/>
  <c r="P8" i="225"/>
  <c r="P12" i="224"/>
  <c r="C18" i="220"/>
  <c r="C12" i="220"/>
  <c r="J18" i="230"/>
  <c r="J12" i="230"/>
  <c r="E19" i="225"/>
  <c r="E12" i="225"/>
  <c r="I22" i="229"/>
  <c r="I24" i="229"/>
  <c r="I27" i="229" s="1"/>
  <c r="D24" i="223"/>
  <c r="D27" i="223" s="1"/>
  <c r="D22" i="223"/>
  <c r="E24" i="189"/>
  <c r="E27" i="189" s="1"/>
  <c r="E22" i="189"/>
  <c r="J18" i="180"/>
  <c r="J12" i="180"/>
  <c r="P26" i="199"/>
  <c r="P29" i="199" s="1"/>
  <c r="P24" i="199"/>
  <c r="O19" i="225"/>
  <c r="O12" i="225"/>
  <c r="C24" i="194"/>
  <c r="C27" i="194" s="1"/>
  <c r="C22" i="194"/>
  <c r="F19" i="225"/>
  <c r="F12" i="225"/>
  <c r="P20" i="234"/>
  <c r="P13" i="234"/>
  <c r="E18" i="222"/>
  <c r="E12" i="222"/>
  <c r="C24" i="223"/>
  <c r="C27" i="223" s="1"/>
  <c r="C22" i="223"/>
  <c r="E25" i="224"/>
  <c r="E28" i="224" s="1"/>
  <c r="E23" i="224"/>
  <c r="M18" i="194"/>
  <c r="M12" i="194"/>
  <c r="H25" i="220"/>
  <c r="H27" i="220" s="1"/>
  <c r="H22" i="220"/>
  <c r="E24" i="194"/>
  <c r="E27" i="194" s="1"/>
  <c r="E22" i="194"/>
  <c r="F26" i="199"/>
  <c r="F29" i="199" s="1"/>
  <c r="F24" i="199"/>
  <c r="P26" i="198"/>
  <c r="P29" i="198" s="1"/>
  <c r="P24" i="198"/>
  <c r="Q18" i="192"/>
  <c r="Q12" i="192"/>
  <c r="J24" i="177"/>
  <c r="J27" i="177" s="1"/>
  <c r="J22" i="177"/>
  <c r="O18" i="192"/>
  <c r="O12" i="192"/>
  <c r="K24" i="194"/>
  <c r="K27" i="194" s="1"/>
  <c r="K22" i="194"/>
  <c r="O25" i="224"/>
  <c r="O28" i="224" s="1"/>
  <c r="O23" i="224"/>
  <c r="B29" i="187" l="1"/>
  <c r="Q18" i="222"/>
  <c r="O31" i="175"/>
  <c r="O31" i="199" s="1"/>
  <c r="O33" i="199" s="1"/>
  <c r="O37" i="199" s="1"/>
  <c r="E26" i="143" s="1"/>
  <c r="Q12" i="222"/>
  <c r="F32" i="196"/>
  <c r="F36" i="196" s="1"/>
  <c r="G3" i="143" s="1"/>
  <c r="F34" i="42"/>
  <c r="J32" i="196"/>
  <c r="J36" i="196" s="1"/>
  <c r="K3" i="143" s="1"/>
  <c r="D32" i="196"/>
  <c r="D36" i="196" s="1"/>
  <c r="E3" i="143" s="1"/>
  <c r="C32" i="196"/>
  <c r="C36" i="196" s="1"/>
  <c r="D3" i="143" s="1"/>
  <c r="K32" i="196"/>
  <c r="K36" i="196" s="1"/>
  <c r="L3" i="143" s="1"/>
  <c r="E32" i="196"/>
  <c r="E36" i="196" s="1"/>
  <c r="F3" i="143" s="1"/>
  <c r="I32" i="196"/>
  <c r="I36" i="196" s="1"/>
  <c r="J3" i="143" s="1"/>
  <c r="E31" i="175"/>
  <c r="E31" i="199" s="1"/>
  <c r="E33" i="199" s="1"/>
  <c r="E37" i="199" s="1"/>
  <c r="E13" i="143" s="1"/>
  <c r="F31" i="175"/>
  <c r="F31" i="199" s="1"/>
  <c r="F33" i="199" s="1"/>
  <c r="B31" i="175"/>
  <c r="B31" i="199" s="1"/>
  <c r="B33" i="199" s="1"/>
  <c r="B37" i="199" s="1"/>
  <c r="E10" i="143" s="1"/>
  <c r="M31" i="175"/>
  <c r="M31" i="199" s="1"/>
  <c r="M33" i="199" s="1"/>
  <c r="M37" i="199" s="1"/>
  <c r="E24" i="143" s="1"/>
  <c r="L31" i="175"/>
  <c r="K31" i="233"/>
  <c r="P31" i="175"/>
  <c r="P31" i="199" s="1"/>
  <c r="P33" i="199" s="1"/>
  <c r="P37" i="199" s="1"/>
  <c r="E27" i="143" s="1"/>
  <c r="N31" i="175"/>
  <c r="N31" i="199" s="1"/>
  <c r="N33" i="199" s="1"/>
  <c r="N37" i="199" s="1"/>
  <c r="E25" i="143" s="1"/>
  <c r="C34" i="42"/>
  <c r="E29" i="187"/>
  <c r="E29" i="194" s="1"/>
  <c r="E31" i="194" s="1"/>
  <c r="E35" i="194" s="1"/>
  <c r="D37" i="143" s="1"/>
  <c r="F29" i="229"/>
  <c r="F33" i="229" s="1"/>
  <c r="V23" i="55"/>
  <c r="F31" i="174"/>
  <c r="F31" i="198" s="1"/>
  <c r="F33" i="198" s="1"/>
  <c r="F37" i="198" s="1"/>
  <c r="D14" i="143" s="1"/>
  <c r="E29" i="190"/>
  <c r="I29" i="193"/>
  <c r="M29" i="221" s="1"/>
  <c r="I31" i="233"/>
  <c r="I31" i="234" s="1"/>
  <c r="I33" i="234" s="1"/>
  <c r="I37" i="234" s="1"/>
  <c r="C18" i="143" s="1"/>
  <c r="M18" i="143" s="1"/>
  <c r="C21" i="120" s="1"/>
  <c r="Y23" i="55"/>
  <c r="J34" i="42"/>
  <c r="Q22" i="221"/>
  <c r="G29" i="193"/>
  <c r="G33" i="193" s="1"/>
  <c r="G31" i="233"/>
  <c r="G30" i="224" s="1"/>
  <c r="C29" i="193"/>
  <c r="C29" i="184" s="1"/>
  <c r="C31" i="184" s="1"/>
  <c r="C35" i="184" s="1"/>
  <c r="E40" i="143" s="1"/>
  <c r="C29" i="229"/>
  <c r="C29" i="230" s="1"/>
  <c r="C31" i="230" s="1"/>
  <c r="C35" i="230" s="1"/>
  <c r="D62" i="143" s="1"/>
  <c r="X23" i="55"/>
  <c r="D29" i="229"/>
  <c r="D29" i="230" s="1"/>
  <c r="D31" i="230" s="1"/>
  <c r="D35" i="230" s="1"/>
  <c r="D63" i="143" s="1"/>
  <c r="L31" i="201"/>
  <c r="L35" i="201" s="1"/>
  <c r="H31" i="233"/>
  <c r="H31" i="234" s="1"/>
  <c r="H33" i="234" s="1"/>
  <c r="H37" i="234" s="1"/>
  <c r="C17" i="143" s="1"/>
  <c r="M17" i="143" s="1"/>
  <c r="C20" i="120" s="1"/>
  <c r="N23" i="55"/>
  <c r="H30" i="196"/>
  <c r="AE23" i="55"/>
  <c r="AE24" i="55" s="1"/>
  <c r="G30" i="196"/>
  <c r="M31" i="174"/>
  <c r="M35" i="174" s="1"/>
  <c r="P31" i="174"/>
  <c r="P31" i="198" s="1"/>
  <c r="P33" i="198" s="1"/>
  <c r="P37" i="198" s="1"/>
  <c r="D27" i="143" s="1"/>
  <c r="L31" i="174"/>
  <c r="L31" i="198" s="1"/>
  <c r="L33" i="198" s="1"/>
  <c r="L37" i="198" s="1"/>
  <c r="D23" i="143" s="1"/>
  <c r="C31" i="174"/>
  <c r="C31" i="198" s="1"/>
  <c r="C33" i="198" s="1"/>
  <c r="C37" i="198" s="1"/>
  <c r="D11" i="143" s="1"/>
  <c r="E34" i="42"/>
  <c r="B29" i="229"/>
  <c r="B29" i="230" s="1"/>
  <c r="B31" i="230" s="1"/>
  <c r="B35" i="230" s="1"/>
  <c r="D61" i="143" s="1"/>
  <c r="F35" i="174"/>
  <c r="T23" i="55"/>
  <c r="I29" i="191"/>
  <c r="I29" i="192" s="1"/>
  <c r="I31" i="192" s="1"/>
  <c r="I35" i="192" s="1"/>
  <c r="C42" i="143" s="1"/>
  <c r="H36" i="82"/>
  <c r="AC23" i="55"/>
  <c r="U23" i="55"/>
  <c r="W23" i="55"/>
  <c r="O31" i="201"/>
  <c r="O35" i="201" s="1"/>
  <c r="F29" i="191"/>
  <c r="F29" i="192" s="1"/>
  <c r="F31" i="192" s="1"/>
  <c r="F35" i="192" s="1"/>
  <c r="C39" i="143" s="1"/>
  <c r="E31" i="201"/>
  <c r="E31" i="202" s="1"/>
  <c r="E33" i="202" s="1"/>
  <c r="E37" i="202" s="1"/>
  <c r="F13" i="143" s="1"/>
  <c r="P31" i="201"/>
  <c r="P35" i="201" s="1"/>
  <c r="J29" i="191"/>
  <c r="J33" i="191" s="1"/>
  <c r="F29" i="187"/>
  <c r="F29" i="194" s="1"/>
  <c r="F31" i="194" s="1"/>
  <c r="F35" i="194" s="1"/>
  <c r="D39" i="143" s="1"/>
  <c r="H29" i="191"/>
  <c r="H29" i="221" s="1"/>
  <c r="I34" i="42"/>
  <c r="F29" i="177"/>
  <c r="K34" i="42"/>
  <c r="B31" i="201"/>
  <c r="B35" i="201" s="1"/>
  <c r="D31" i="201"/>
  <c r="D35" i="201" s="1"/>
  <c r="L7" i="55"/>
  <c r="L10" i="55" s="1"/>
  <c r="L29" i="191"/>
  <c r="L33" i="191" s="1"/>
  <c r="D34" i="42"/>
  <c r="AF7" i="55"/>
  <c r="AF10" i="55" s="1"/>
  <c r="AF13" i="55" s="1"/>
  <c r="AF17" i="55" s="1"/>
  <c r="AF20" i="55" s="1"/>
  <c r="G29" i="187"/>
  <c r="G33" i="187" s="1"/>
  <c r="R7" i="55"/>
  <c r="R10" i="55" s="1"/>
  <c r="R13" i="55" s="1"/>
  <c r="R17" i="55" s="1"/>
  <c r="R20" i="55" s="1"/>
  <c r="E29" i="177"/>
  <c r="E33" i="177" s="1"/>
  <c r="N31" i="201"/>
  <c r="N35" i="201" s="1"/>
  <c r="C31" i="201"/>
  <c r="C35" i="201" s="1"/>
  <c r="AA7" i="55"/>
  <c r="AA10" i="55" s="1"/>
  <c r="AA13" i="55" s="1"/>
  <c r="AA17" i="55" s="1"/>
  <c r="AA20" i="55" s="1"/>
  <c r="K29" i="191"/>
  <c r="C33" i="187"/>
  <c r="M31" i="201"/>
  <c r="M31" i="202" s="1"/>
  <c r="M33" i="202" s="1"/>
  <c r="M37" i="202" s="1"/>
  <c r="F24" i="143" s="1"/>
  <c r="E33" i="187"/>
  <c r="Q24" i="192"/>
  <c r="Q27" i="192" s="1"/>
  <c r="Q22" i="192"/>
  <c r="G29" i="192"/>
  <c r="G31" i="192" s="1"/>
  <c r="G35" i="192" s="1"/>
  <c r="C40" i="143" s="1"/>
  <c r="G33" i="191"/>
  <c r="B31" i="233"/>
  <c r="M23" i="55"/>
  <c r="D31" i="233"/>
  <c r="E31" i="233"/>
  <c r="C31" i="233"/>
  <c r="F31" i="233"/>
  <c r="O25" i="225"/>
  <c r="O28" i="225" s="1"/>
  <c r="O23" i="225"/>
  <c r="E25" i="225"/>
  <c r="E28" i="225" s="1"/>
  <c r="E23" i="225"/>
  <c r="C24" i="220"/>
  <c r="C27" i="220" s="1"/>
  <c r="C22" i="220"/>
  <c r="P25" i="224"/>
  <c r="P28" i="224" s="1"/>
  <c r="P23" i="224"/>
  <c r="K30" i="224"/>
  <c r="K31" i="234"/>
  <c r="K33" i="234" s="1"/>
  <c r="K37" i="234" s="1"/>
  <c r="C20" i="143" s="1"/>
  <c r="M20" i="143" s="1"/>
  <c r="C23" i="120" s="1"/>
  <c r="D23" i="120" s="1"/>
  <c r="K35" i="233"/>
  <c r="B29" i="194"/>
  <c r="B31" i="194" s="1"/>
  <c r="B35" i="194" s="1"/>
  <c r="D34" i="143" s="1"/>
  <c r="B33" i="187"/>
  <c r="L31" i="199"/>
  <c r="L33" i="199" s="1"/>
  <c r="L37" i="199" s="1"/>
  <c r="E23" i="143" s="1"/>
  <c r="L35" i="175"/>
  <c r="O24" i="221"/>
  <c r="O27" i="221" s="1"/>
  <c r="O22" i="221"/>
  <c r="J18" i="220"/>
  <c r="J12" i="220"/>
  <c r="C33" i="193"/>
  <c r="M29" i="192"/>
  <c r="M31" i="192" s="1"/>
  <c r="M35" i="192" s="1"/>
  <c r="C48" i="143" s="1"/>
  <c r="M33" i="191"/>
  <c r="C29" i="177"/>
  <c r="B29" i="177"/>
  <c r="D29" i="177"/>
  <c r="AB23" i="55"/>
  <c r="I22" i="230"/>
  <c r="I24" i="230"/>
  <c r="I27" i="230" s="1"/>
  <c r="M24" i="194"/>
  <c r="M27" i="194" s="1"/>
  <c r="M22" i="194"/>
  <c r="P26" i="234"/>
  <c r="P29" i="234" s="1"/>
  <c r="P24" i="234"/>
  <c r="J24" i="180"/>
  <c r="J27" i="180" s="1"/>
  <c r="J22" i="180"/>
  <c r="G29" i="180"/>
  <c r="G31" i="180" s="1"/>
  <c r="G35" i="180" s="1"/>
  <c r="C67" i="143" s="1"/>
  <c r="G29" i="223"/>
  <c r="G33" i="177"/>
  <c r="L35" i="174"/>
  <c r="F31" i="202"/>
  <c r="F33" i="202" s="1"/>
  <c r="F37" i="202" s="1"/>
  <c r="F14" i="143" s="1"/>
  <c r="F35" i="201"/>
  <c r="B30" i="196"/>
  <c r="B34" i="42"/>
  <c r="J30" i="224"/>
  <c r="J31" i="234"/>
  <c r="J33" i="234" s="1"/>
  <c r="J37" i="234" s="1"/>
  <c r="C19" i="143" s="1"/>
  <c r="M19" i="143" s="1"/>
  <c r="C22" i="120" s="1"/>
  <c r="J35" i="233"/>
  <c r="H29" i="184"/>
  <c r="H31" i="184" s="1"/>
  <c r="H35" i="184" s="1"/>
  <c r="E47" i="143" s="1"/>
  <c r="H33" i="193"/>
  <c r="C31" i="199"/>
  <c r="C33" i="199" s="1"/>
  <c r="C37" i="199" s="1"/>
  <c r="E11" i="143" s="1"/>
  <c r="C35" i="175"/>
  <c r="F35" i="175"/>
  <c r="C24" i="222"/>
  <c r="C27" i="222" s="1"/>
  <c r="C22" i="222"/>
  <c r="J24" i="223"/>
  <c r="J27" i="223" s="1"/>
  <c r="J22" i="223"/>
  <c r="E29" i="184"/>
  <c r="E31" i="184" s="1"/>
  <c r="E35" i="184" s="1"/>
  <c r="E42" i="143" s="1"/>
  <c r="E33" i="193"/>
  <c r="E29" i="189"/>
  <c r="E31" i="189" s="1"/>
  <c r="E35" i="189" s="1"/>
  <c r="B31" i="198"/>
  <c r="B33" i="198" s="1"/>
  <c r="B37" i="198" s="1"/>
  <c r="D10" i="143" s="1"/>
  <c r="B35" i="174"/>
  <c r="L31" i="202"/>
  <c r="L33" i="202" s="1"/>
  <c r="L37" i="202" s="1"/>
  <c r="F23" i="143" s="1"/>
  <c r="J22" i="230"/>
  <c r="J24" i="230"/>
  <c r="J27" i="230" s="1"/>
  <c r="I18" i="220"/>
  <c r="I12" i="220"/>
  <c r="D31" i="199"/>
  <c r="D33" i="199" s="1"/>
  <c r="D37" i="199" s="1"/>
  <c r="E12" i="143" s="1"/>
  <c r="D35" i="175"/>
  <c r="S23" i="55"/>
  <c r="B29" i="191"/>
  <c r="C29" i="191"/>
  <c r="E29" i="191"/>
  <c r="E29" i="221" s="1"/>
  <c r="I24" i="180"/>
  <c r="I27" i="180" s="1"/>
  <c r="I22" i="180"/>
  <c r="Q24" i="222"/>
  <c r="Q27" i="222" s="1"/>
  <c r="Q22" i="222"/>
  <c r="O24" i="192"/>
  <c r="O27" i="192" s="1"/>
  <c r="O22" i="192"/>
  <c r="I29" i="194"/>
  <c r="I31" i="194" s="1"/>
  <c r="I35" i="194" s="1"/>
  <c r="D42" i="143" s="1"/>
  <c r="I33" i="187"/>
  <c r="B29" i="189"/>
  <c r="B31" i="189" s="1"/>
  <c r="B35" i="189" s="1"/>
  <c r="B33" i="190"/>
  <c r="E24" i="222"/>
  <c r="E27" i="222" s="1"/>
  <c r="E22" i="222"/>
  <c r="F25" i="225"/>
  <c r="F28" i="225" s="1"/>
  <c r="F23" i="225"/>
  <c r="E33" i="190"/>
  <c r="G29" i="230"/>
  <c r="G31" i="230" s="1"/>
  <c r="G35" i="230" s="1"/>
  <c r="D67" i="143" s="1"/>
  <c r="G33" i="229"/>
  <c r="P19" i="225"/>
  <c r="P12" i="225"/>
  <c r="I24" i="223"/>
  <c r="I27" i="223" s="1"/>
  <c r="I22" i="223"/>
  <c r="D24" i="220"/>
  <c r="D27" i="220" s="1"/>
  <c r="D22" i="220"/>
  <c r="C35" i="194"/>
  <c r="D35" i="143" s="1"/>
  <c r="F37" i="199"/>
  <c r="E14" i="143" s="1"/>
  <c r="O18" i="222"/>
  <c r="O12" i="222"/>
  <c r="O35" i="175" l="1"/>
  <c r="H29" i="192"/>
  <c r="H31" i="192" s="1"/>
  <c r="H35" i="192" s="1"/>
  <c r="C41" i="143" s="1"/>
  <c r="M41" i="143" s="1"/>
  <c r="C35" i="120" s="1"/>
  <c r="N35" i="175"/>
  <c r="M35" i="175"/>
  <c r="E29" i="223"/>
  <c r="E29" i="220" s="1"/>
  <c r="M31" i="198"/>
  <c r="M33" i="198" s="1"/>
  <c r="M37" i="198" s="1"/>
  <c r="D24" i="143" s="1"/>
  <c r="P35" i="175"/>
  <c r="E35" i="175"/>
  <c r="B32" i="196"/>
  <c r="B36" i="196" s="1"/>
  <c r="C3" i="143" s="1"/>
  <c r="H32" i="196"/>
  <c r="H36" i="196" s="1"/>
  <c r="I3" i="143" s="1"/>
  <c r="Y24" i="55"/>
  <c r="G32" i="196"/>
  <c r="G36" i="196" s="1"/>
  <c r="H3" i="143" s="1"/>
  <c r="B35" i="175"/>
  <c r="F29" i="223"/>
  <c r="F29" i="220" s="1"/>
  <c r="H35" i="233"/>
  <c r="H30" i="224"/>
  <c r="H34" i="224" s="1"/>
  <c r="I29" i="184"/>
  <c r="I31" i="184" s="1"/>
  <c r="I35" i="184" s="1"/>
  <c r="E48" i="143" s="1"/>
  <c r="M48" i="143" s="1"/>
  <c r="F29" i="230"/>
  <c r="F31" i="230" s="1"/>
  <c r="F35" i="230" s="1"/>
  <c r="D66" i="143" s="1"/>
  <c r="I35" i="233"/>
  <c r="J29" i="192"/>
  <c r="J31" i="192" s="1"/>
  <c r="J35" i="192" s="1"/>
  <c r="C45" i="143" s="1"/>
  <c r="M45" i="143" s="1"/>
  <c r="C38" i="120" s="1"/>
  <c r="D38" i="120" s="1"/>
  <c r="I33" i="193"/>
  <c r="I30" i="224"/>
  <c r="I34" i="224" s="1"/>
  <c r="C35" i="174"/>
  <c r="G29" i="184"/>
  <c r="G31" i="184" s="1"/>
  <c r="G35" i="184" s="1"/>
  <c r="E46" i="143" s="1"/>
  <c r="K29" i="221"/>
  <c r="K33" i="221" s="1"/>
  <c r="W24" i="55"/>
  <c r="K29" i="187" s="1"/>
  <c r="G35" i="233"/>
  <c r="G31" i="234"/>
  <c r="G33" i="234" s="1"/>
  <c r="G37" i="234" s="1"/>
  <c r="C16" i="143" s="1"/>
  <c r="M16" i="143" s="1"/>
  <c r="C19" i="120" s="1"/>
  <c r="K33" i="191"/>
  <c r="N24" i="55"/>
  <c r="O31" i="233" s="1"/>
  <c r="D31" i="202"/>
  <c r="D33" i="202" s="1"/>
  <c r="D37" i="202" s="1"/>
  <c r="F12" i="143" s="1"/>
  <c r="J29" i="221"/>
  <c r="J33" i="221" s="1"/>
  <c r="E29" i="180"/>
  <c r="E31" i="180" s="1"/>
  <c r="E35" i="180" s="1"/>
  <c r="C65" i="143" s="1"/>
  <c r="M65" i="143" s="1"/>
  <c r="C50" i="120" s="1"/>
  <c r="D33" i="229"/>
  <c r="K29" i="192"/>
  <c r="K31" i="192" s="1"/>
  <c r="K35" i="192" s="1"/>
  <c r="C46" i="143" s="1"/>
  <c r="C33" i="229"/>
  <c r="P35" i="174"/>
  <c r="G29" i="194"/>
  <c r="G31" i="194" s="1"/>
  <c r="G35" i="194" s="1"/>
  <c r="D40" i="143" s="1"/>
  <c r="M40" i="143" s="1"/>
  <c r="F33" i="191"/>
  <c r="M35" i="201"/>
  <c r="I33" i="191"/>
  <c r="AC24" i="55"/>
  <c r="H29" i="177" s="1"/>
  <c r="L29" i="221"/>
  <c r="L29" i="222" s="1"/>
  <c r="P31" i="202"/>
  <c r="P33" i="202" s="1"/>
  <c r="P37" i="202" s="1"/>
  <c r="F27" i="143" s="1"/>
  <c r="B33" i="229"/>
  <c r="E35" i="201"/>
  <c r="B31" i="202"/>
  <c r="B33" i="202" s="1"/>
  <c r="B37" i="202" s="1"/>
  <c r="F10" i="143" s="1"/>
  <c r="AH7" i="55"/>
  <c r="AH10" i="55" s="1"/>
  <c r="O31" i="202"/>
  <c r="O33" i="202" s="1"/>
  <c r="O37" i="202" s="1"/>
  <c r="F26" i="143" s="1"/>
  <c r="H33" i="191"/>
  <c r="U24" i="55"/>
  <c r="P29" i="191" s="1"/>
  <c r="I29" i="221"/>
  <c r="I29" i="222" s="1"/>
  <c r="F29" i="221"/>
  <c r="F29" i="222" s="1"/>
  <c r="F33" i="177"/>
  <c r="F33" i="187"/>
  <c r="F29" i="180"/>
  <c r="F31" i="180" s="1"/>
  <c r="F35" i="180" s="1"/>
  <c r="C66" i="143" s="1"/>
  <c r="N31" i="202"/>
  <c r="N33" i="202" s="1"/>
  <c r="N37" i="202" s="1"/>
  <c r="F25" i="143" s="1"/>
  <c r="G29" i="221"/>
  <c r="G29" i="222" s="1"/>
  <c r="L29" i="192"/>
  <c r="L31" i="192" s="1"/>
  <c r="L35" i="192" s="1"/>
  <c r="C47" i="143" s="1"/>
  <c r="M47" i="143" s="1"/>
  <c r="C40" i="120" s="1"/>
  <c r="C31" i="202"/>
  <c r="C33" i="202" s="1"/>
  <c r="C37" i="202" s="1"/>
  <c r="F11" i="143" s="1"/>
  <c r="D21" i="120"/>
  <c r="D20" i="120"/>
  <c r="D22" i="120"/>
  <c r="D19" i="120"/>
  <c r="D35" i="120"/>
  <c r="E29" i="222"/>
  <c r="E33" i="221"/>
  <c r="F51" i="143"/>
  <c r="F34" i="143"/>
  <c r="B29" i="221"/>
  <c r="B29" i="192"/>
  <c r="B31" i="192" s="1"/>
  <c r="B35" i="192" s="1"/>
  <c r="C34" i="143" s="1"/>
  <c r="B33" i="191"/>
  <c r="I24" i="220"/>
  <c r="I27" i="220" s="1"/>
  <c r="I22" i="220"/>
  <c r="H29" i="222"/>
  <c r="H33" i="221"/>
  <c r="J30" i="225"/>
  <c r="J34" i="224"/>
  <c r="M39" i="143"/>
  <c r="C33" i="120" s="1"/>
  <c r="B29" i="180"/>
  <c r="B31" i="180" s="1"/>
  <c r="B35" i="180" s="1"/>
  <c r="C61" i="143" s="1"/>
  <c r="M61" i="143" s="1"/>
  <c r="C46" i="120" s="1"/>
  <c r="B29" i="223"/>
  <c r="B33" i="177"/>
  <c r="M29" i="222"/>
  <c r="M33" i="221"/>
  <c r="K30" i="225"/>
  <c r="K34" i="224"/>
  <c r="F30" i="224"/>
  <c r="F31" i="234"/>
  <c r="F33" i="234" s="1"/>
  <c r="F37" i="234" s="1"/>
  <c r="C14" i="143" s="1"/>
  <c r="M14" i="143" s="1"/>
  <c r="C17" i="120" s="1"/>
  <c r="D17" i="120" s="1"/>
  <c r="F35" i="233"/>
  <c r="O24" i="222"/>
  <c r="O27" i="222" s="1"/>
  <c r="O22" i="222"/>
  <c r="P25" i="225"/>
  <c r="P28" i="225" s="1"/>
  <c r="P23" i="225"/>
  <c r="G30" i="225"/>
  <c r="G34" i="224"/>
  <c r="F37" i="143"/>
  <c r="F54" i="143"/>
  <c r="G29" i="220"/>
  <c r="G33" i="223"/>
  <c r="C29" i="223"/>
  <c r="C29" i="180"/>
  <c r="C31" i="180" s="1"/>
  <c r="C35" i="180" s="1"/>
  <c r="C62" i="143" s="1"/>
  <c r="M62" i="143" s="1"/>
  <c r="C47" i="120" s="1"/>
  <c r="C33" i="177"/>
  <c r="J24" i="220"/>
  <c r="J27" i="220" s="1"/>
  <c r="J22" i="220"/>
  <c r="L13" i="55"/>
  <c r="AH13" i="55" s="1"/>
  <c r="C30" i="224"/>
  <c r="C31" i="234"/>
  <c r="C33" i="234" s="1"/>
  <c r="C37" i="234" s="1"/>
  <c r="C11" i="143" s="1"/>
  <c r="C35" i="233"/>
  <c r="B30" i="224"/>
  <c r="B31" i="234"/>
  <c r="B33" i="234" s="1"/>
  <c r="B37" i="234" s="1"/>
  <c r="C10" i="143" s="1"/>
  <c r="B35" i="233"/>
  <c r="I29" i="229"/>
  <c r="H29" i="229"/>
  <c r="J29" i="229"/>
  <c r="K29" i="193"/>
  <c r="M29" i="193"/>
  <c r="L29" i="193"/>
  <c r="J29" i="222"/>
  <c r="E29" i="192"/>
  <c r="E31" i="192" s="1"/>
  <c r="E35" i="192" s="1"/>
  <c r="C37" i="143" s="1"/>
  <c r="E33" i="191"/>
  <c r="M67" i="143"/>
  <c r="C52" i="120" s="1"/>
  <c r="D52" i="120" s="1"/>
  <c r="M42" i="143"/>
  <c r="C36" i="120" s="1"/>
  <c r="D36" i="120" s="1"/>
  <c r="E31" i="234"/>
  <c r="E33" i="234" s="1"/>
  <c r="E37" i="234" s="1"/>
  <c r="C13" i="143" s="1"/>
  <c r="M13" i="143" s="1"/>
  <c r="C16" i="120" s="1"/>
  <c r="E30" i="224"/>
  <c r="E35" i="233"/>
  <c r="C29" i="221"/>
  <c r="C29" i="192"/>
  <c r="C31" i="192" s="1"/>
  <c r="C35" i="192" s="1"/>
  <c r="C35" i="143" s="1"/>
  <c r="M35" i="143" s="1"/>
  <c r="C29" i="120" s="1"/>
  <c r="C33" i="191"/>
  <c r="D29" i="180"/>
  <c r="D31" i="180" s="1"/>
  <c r="D35" i="180" s="1"/>
  <c r="C63" i="143" s="1"/>
  <c r="M63" i="143" s="1"/>
  <c r="C48" i="120" s="1"/>
  <c r="D48" i="120" s="1"/>
  <c r="D29" i="223"/>
  <c r="D33" i="177"/>
  <c r="D31" i="234"/>
  <c r="D33" i="234" s="1"/>
  <c r="D37" i="234" s="1"/>
  <c r="C12" i="143" s="1"/>
  <c r="D30" i="224"/>
  <c r="D35" i="233"/>
  <c r="H30" i="225" l="1"/>
  <c r="E33" i="223"/>
  <c r="L31" i="233"/>
  <c r="F33" i="223"/>
  <c r="M3" i="143"/>
  <c r="C9" i="120" s="1"/>
  <c r="J31" i="222"/>
  <c r="E31" i="220"/>
  <c r="K32" i="225"/>
  <c r="J32" i="225"/>
  <c r="G31" i="222"/>
  <c r="H32" i="225"/>
  <c r="G31" i="220"/>
  <c r="G32" i="225"/>
  <c r="F31" i="222"/>
  <c r="F31" i="220"/>
  <c r="M31" i="222"/>
  <c r="H31" i="222"/>
  <c r="I31" i="222"/>
  <c r="E31" i="222"/>
  <c r="L31" i="222"/>
  <c r="K29" i="222"/>
  <c r="M66" i="143"/>
  <c r="C51" i="120" s="1"/>
  <c r="I30" i="225"/>
  <c r="M29" i="187"/>
  <c r="M29" i="194" s="1"/>
  <c r="M31" i="194" s="1"/>
  <c r="M35" i="194" s="1"/>
  <c r="D54" i="143" s="1"/>
  <c r="M11" i="143"/>
  <c r="C14" i="120" s="1"/>
  <c r="I33" i="221"/>
  <c r="J29" i="187"/>
  <c r="J29" i="194" s="1"/>
  <c r="J31" i="194" s="1"/>
  <c r="J35" i="194" s="1"/>
  <c r="D51" i="143" s="1"/>
  <c r="P31" i="233"/>
  <c r="P30" i="224" s="1"/>
  <c r="M46" i="143"/>
  <c r="C39" i="120" s="1"/>
  <c r="M12" i="143"/>
  <c r="C15" i="120" s="1"/>
  <c r="M31" i="233"/>
  <c r="M31" i="234" s="1"/>
  <c r="M33" i="234" s="1"/>
  <c r="M37" i="234" s="1"/>
  <c r="C24" i="143" s="1"/>
  <c r="M24" i="143" s="1"/>
  <c r="N31" i="233"/>
  <c r="N31" i="234" s="1"/>
  <c r="N33" i="234" s="1"/>
  <c r="N37" i="234" s="1"/>
  <c r="C25" i="143" s="1"/>
  <c r="M25" i="143" s="1"/>
  <c r="F33" i="221"/>
  <c r="D50" i="120"/>
  <c r="M37" i="143"/>
  <c r="C31" i="120" s="1"/>
  <c r="D31" i="120" s="1"/>
  <c r="G33" i="221"/>
  <c r="L33" i="221"/>
  <c r="J29" i="177"/>
  <c r="J29" i="180" s="1"/>
  <c r="J31" i="180" s="1"/>
  <c r="J35" i="180" s="1"/>
  <c r="C72" i="143" s="1"/>
  <c r="I29" i="177"/>
  <c r="I29" i="223" s="1"/>
  <c r="M10" i="143"/>
  <c r="C13" i="120" s="1"/>
  <c r="O29" i="191"/>
  <c r="O29" i="221" s="1"/>
  <c r="N29" i="191"/>
  <c r="N33" i="191" s="1"/>
  <c r="Q29" i="191"/>
  <c r="Q29" i="192" s="1"/>
  <c r="Q31" i="192" s="1"/>
  <c r="Q35" i="192" s="1"/>
  <c r="C54" i="143" s="1"/>
  <c r="M34" i="143"/>
  <c r="C28" i="120" s="1"/>
  <c r="D40" i="120"/>
  <c r="AJ7" i="55"/>
  <c r="H48" i="82"/>
  <c r="D16" i="120"/>
  <c r="D46" i="120"/>
  <c r="D29" i="120"/>
  <c r="D47" i="120"/>
  <c r="D33" i="120"/>
  <c r="H29" i="180"/>
  <c r="H31" i="180" s="1"/>
  <c r="H35" i="180" s="1"/>
  <c r="C70" i="143" s="1"/>
  <c r="H29" i="223"/>
  <c r="H33" i="177"/>
  <c r="J29" i="230"/>
  <c r="J31" i="230" s="1"/>
  <c r="J35" i="230" s="1"/>
  <c r="D72" i="143" s="1"/>
  <c r="J33" i="229"/>
  <c r="P29" i="192"/>
  <c r="P31" i="192" s="1"/>
  <c r="P35" i="192" s="1"/>
  <c r="C53" i="143" s="1"/>
  <c r="P29" i="221"/>
  <c r="P33" i="191"/>
  <c r="D30" i="225"/>
  <c r="D34" i="224"/>
  <c r="C41" i="120"/>
  <c r="D41" i="120" s="1"/>
  <c r="E30" i="225"/>
  <c r="E34" i="224"/>
  <c r="AH17" i="55"/>
  <c r="AH20" i="55" s="1"/>
  <c r="L29" i="184"/>
  <c r="L31" i="184" s="1"/>
  <c r="L35" i="184" s="1"/>
  <c r="E53" i="143" s="1"/>
  <c r="L33" i="193"/>
  <c r="H29" i="230"/>
  <c r="H31" i="230" s="1"/>
  <c r="H35" i="230" s="1"/>
  <c r="D70" i="143" s="1"/>
  <c r="H33" i="229"/>
  <c r="C29" i="220"/>
  <c r="C33" i="223"/>
  <c r="B29" i="222"/>
  <c r="B33" i="221"/>
  <c r="M29" i="184"/>
  <c r="M31" i="184" s="1"/>
  <c r="M35" i="184" s="1"/>
  <c r="E54" i="143" s="1"/>
  <c r="M33" i="193"/>
  <c r="I29" i="230"/>
  <c r="I31" i="230" s="1"/>
  <c r="I35" i="230" s="1"/>
  <c r="D71" i="143" s="1"/>
  <c r="I33" i="229"/>
  <c r="C30" i="225"/>
  <c r="C34" i="224"/>
  <c r="K29" i="194"/>
  <c r="K31" i="194" s="1"/>
  <c r="K35" i="194" s="1"/>
  <c r="D52" i="143" s="1"/>
  <c r="K33" i="187"/>
  <c r="O30" i="224"/>
  <c r="O31" i="234"/>
  <c r="O33" i="234" s="1"/>
  <c r="O37" i="234" s="1"/>
  <c r="C26" i="143" s="1"/>
  <c r="M26" i="143" s="1"/>
  <c r="O35" i="233"/>
  <c r="F30" i="225"/>
  <c r="F34" i="224"/>
  <c r="B29" i="220"/>
  <c r="B33" i="223"/>
  <c r="C34" i="120"/>
  <c r="D29" i="220"/>
  <c r="D33" i="223"/>
  <c r="C29" i="222"/>
  <c r="C33" i="221"/>
  <c r="K29" i="184"/>
  <c r="K31" i="184" s="1"/>
  <c r="K35" i="184" s="1"/>
  <c r="E52" i="143" s="1"/>
  <c r="K33" i="193"/>
  <c r="B30" i="225"/>
  <c r="B34" i="224"/>
  <c r="L17" i="55"/>
  <c r="L20" i="55" s="1"/>
  <c r="L30" i="42" s="1"/>
  <c r="L31" i="234"/>
  <c r="L33" i="234" s="1"/>
  <c r="L37" i="234" s="1"/>
  <c r="C23" i="143" s="1"/>
  <c r="M23" i="143" s="1"/>
  <c r="L30" i="224"/>
  <c r="L35" i="233"/>
  <c r="J29" i="223" l="1"/>
  <c r="N35" i="233"/>
  <c r="N29" i="221"/>
  <c r="N33" i="221" s="1"/>
  <c r="J33" i="187"/>
  <c r="M33" i="187"/>
  <c r="P35" i="233"/>
  <c r="D9" i="120"/>
  <c r="D39" i="120"/>
  <c r="D14" i="120"/>
  <c r="D15" i="120"/>
  <c r="M30" i="224"/>
  <c r="M34" i="224" s="1"/>
  <c r="M35" i="233"/>
  <c r="I32" i="225"/>
  <c r="E35" i="222"/>
  <c r="P37" i="143" s="1"/>
  <c r="D31" i="220"/>
  <c r="B31" i="220"/>
  <c r="B31" i="222"/>
  <c r="H35" i="222"/>
  <c r="P41" i="143" s="1"/>
  <c r="F35" i="220"/>
  <c r="P66" i="143" s="1"/>
  <c r="G36" i="225"/>
  <c r="P16" i="143" s="1"/>
  <c r="H36" i="225"/>
  <c r="P17" i="143" s="1"/>
  <c r="J36" i="225"/>
  <c r="P19" i="143" s="1"/>
  <c r="E35" i="220"/>
  <c r="P65" i="143" s="1"/>
  <c r="E32" i="225"/>
  <c r="D32" i="225"/>
  <c r="L35" i="222"/>
  <c r="P47" i="143" s="1"/>
  <c r="B32" i="225"/>
  <c r="C31" i="222"/>
  <c r="F32" i="225"/>
  <c r="C32" i="225"/>
  <c r="C31" i="220"/>
  <c r="K31" i="222"/>
  <c r="I35" i="222"/>
  <c r="P42" i="143" s="1"/>
  <c r="M35" i="222"/>
  <c r="P48" i="143" s="1"/>
  <c r="F35" i="222"/>
  <c r="P39" i="143" s="1"/>
  <c r="G35" i="220"/>
  <c r="P67" i="143" s="1"/>
  <c r="G35" i="222"/>
  <c r="P40" i="143" s="1"/>
  <c r="K36" i="225"/>
  <c r="P20" i="143" s="1"/>
  <c r="J35" i="222"/>
  <c r="P45" i="143" s="1"/>
  <c r="P31" i="234"/>
  <c r="P33" i="234" s="1"/>
  <c r="P37" i="234" s="1"/>
  <c r="C27" i="143" s="1"/>
  <c r="M27" i="143" s="1"/>
  <c r="C24" i="120" s="1"/>
  <c r="D24" i="120" s="1"/>
  <c r="Q33" i="191"/>
  <c r="I33" i="177"/>
  <c r="N30" i="224"/>
  <c r="N34" i="224" s="1"/>
  <c r="D13" i="120"/>
  <c r="Q29" i="221"/>
  <c r="Q29" i="222" s="1"/>
  <c r="I29" i="180"/>
  <c r="I31" i="180" s="1"/>
  <c r="I35" i="180" s="1"/>
  <c r="C71" i="143" s="1"/>
  <c r="M71" i="143" s="1"/>
  <c r="N29" i="192"/>
  <c r="N31" i="192" s="1"/>
  <c r="N35" i="192" s="1"/>
  <c r="C51" i="143" s="1"/>
  <c r="M51" i="143" s="1"/>
  <c r="O33" i="191"/>
  <c r="J33" i="177"/>
  <c r="O29" i="192"/>
  <c r="O31" i="192" s="1"/>
  <c r="O35" i="192" s="1"/>
  <c r="C52" i="143" s="1"/>
  <c r="M52" i="143" s="1"/>
  <c r="M54" i="143"/>
  <c r="C42" i="120" s="1"/>
  <c r="D42" i="120" s="1"/>
  <c r="AJ10" i="55"/>
  <c r="AL7" i="55"/>
  <c r="M72" i="143"/>
  <c r="C53" i="120" s="1"/>
  <c r="D53" i="120" s="1"/>
  <c r="D51" i="120"/>
  <c r="D28" i="120"/>
  <c r="D34" i="120"/>
  <c r="P30" i="225"/>
  <c r="P34" i="224"/>
  <c r="N29" i="222"/>
  <c r="H29" i="220"/>
  <c r="H33" i="223"/>
  <c r="I29" i="220"/>
  <c r="I33" i="223"/>
  <c r="O29" i="222"/>
  <c r="O33" i="221"/>
  <c r="P29" i="222"/>
  <c r="P33" i="221"/>
  <c r="M70" i="143"/>
  <c r="M53" i="143"/>
  <c r="L30" i="225"/>
  <c r="L34" i="224"/>
  <c r="L34" i="42"/>
  <c r="L30" i="196"/>
  <c r="J29" i="220"/>
  <c r="J33" i="223"/>
  <c r="O30" i="225"/>
  <c r="O34" i="224"/>
  <c r="M30" i="225"/>
  <c r="N30" i="225" l="1"/>
  <c r="N32" i="225" s="1"/>
  <c r="M32" i="225"/>
  <c r="L32" i="225"/>
  <c r="P31" i="222"/>
  <c r="H31" i="220"/>
  <c r="P32" i="225"/>
  <c r="O32" i="225"/>
  <c r="J31" i="220"/>
  <c r="L32" i="196"/>
  <c r="C35" i="220"/>
  <c r="P62" i="143" s="1"/>
  <c r="F36" i="225"/>
  <c r="P14" i="143" s="1"/>
  <c r="B36" i="225"/>
  <c r="P10" i="143" s="1"/>
  <c r="D36" i="225"/>
  <c r="P12" i="143" s="1"/>
  <c r="B35" i="222"/>
  <c r="P34" i="143" s="1"/>
  <c r="D35" i="220"/>
  <c r="P63" i="143" s="1"/>
  <c r="O31" i="222"/>
  <c r="I31" i="220"/>
  <c r="N31" i="222"/>
  <c r="Q31" i="222"/>
  <c r="K35" i="222"/>
  <c r="P46" i="143" s="1"/>
  <c r="C36" i="225"/>
  <c r="P11" i="143" s="1"/>
  <c r="C35" i="222"/>
  <c r="P35" i="143" s="1"/>
  <c r="E36" i="225"/>
  <c r="P13" i="143" s="1"/>
  <c r="B35" i="220"/>
  <c r="P61" i="143" s="1"/>
  <c r="I36" i="225"/>
  <c r="P18" i="143" s="1"/>
  <c r="Q33" i="221"/>
  <c r="AJ13" i="55"/>
  <c r="AL10" i="55"/>
  <c r="L36" i="196" l="1"/>
  <c r="P3" i="143" s="1"/>
  <c r="P36" i="225"/>
  <c r="P27" i="143" s="1"/>
  <c r="N36" i="225"/>
  <c r="P25" i="143" s="1"/>
  <c r="L36" i="225"/>
  <c r="P23" i="143" s="1"/>
  <c r="I35" i="220"/>
  <c r="P71" i="143" s="1"/>
  <c r="J35" i="220"/>
  <c r="P72" i="143" s="1"/>
  <c r="Q35" i="222"/>
  <c r="P54" i="143" s="1"/>
  <c r="N35" i="222"/>
  <c r="P51" i="143" s="1"/>
  <c r="O35" i="222"/>
  <c r="P52" i="143" s="1"/>
  <c r="O36" i="225"/>
  <c r="P26" i="143" s="1"/>
  <c r="H35" i="220"/>
  <c r="P70" i="143" s="1"/>
  <c r="P35" i="222"/>
  <c r="P53" i="143" s="1"/>
  <c r="M36" i="225"/>
  <c r="P24" i="143" s="1"/>
  <c r="AJ17" i="55"/>
  <c r="AJ20" i="55" s="1"/>
  <c r="AL13" i="55"/>
  <c r="AL17" i="55" s="1"/>
  <c r="AL20" i="55" s="1"/>
</calcChain>
</file>

<file path=xl/sharedStrings.xml><?xml version="1.0" encoding="utf-8"?>
<sst xmlns="http://schemas.openxmlformats.org/spreadsheetml/2006/main" count="4655" uniqueCount="541">
  <si>
    <t>Secondary</t>
  </si>
  <si>
    <t>Primary</t>
  </si>
  <si>
    <t>Total</t>
  </si>
  <si>
    <t xml:space="preserve">     </t>
  </si>
  <si>
    <t>Max Annual Demand (kW)</t>
  </si>
  <si>
    <t>0 - 2</t>
  </si>
  <si>
    <t>3 - 6</t>
  </si>
  <si>
    <t>7 - 12</t>
  </si>
  <si>
    <t>26 - 50</t>
  </si>
  <si>
    <t>51 - 75</t>
  </si>
  <si>
    <t>76 - 100</t>
  </si>
  <si>
    <t>101 - 150</t>
  </si>
  <si>
    <t>251 - 350</t>
  </si>
  <si>
    <t>351 - 450</t>
  </si>
  <si>
    <t>551 - 650</t>
  </si>
  <si>
    <t>651 - 750</t>
  </si>
  <si>
    <t>751 - 850</t>
  </si>
  <si>
    <t>851 - 1,050</t>
  </si>
  <si>
    <t>1,051 - 1,250</t>
  </si>
  <si>
    <t>1,251 - 1,500</t>
  </si>
  <si>
    <t>1,501 - 2,000</t>
  </si>
  <si>
    <t>2,001 - 2,500</t>
  </si>
  <si>
    <t>2,501 - 3,000</t>
  </si>
  <si>
    <t>3,001 - 3,500</t>
  </si>
  <si>
    <t>3,501 - 4,000</t>
  </si>
  <si>
    <t>4,001 - 5,000</t>
  </si>
  <si>
    <t>25,001 - 50,000</t>
  </si>
  <si>
    <t>&gt;50,000</t>
  </si>
  <si>
    <t>DR</t>
  </si>
  <si>
    <t>DM</t>
  </si>
  <si>
    <t>DS</t>
  </si>
  <si>
    <t>DT</t>
  </si>
  <si>
    <t>120/240</t>
  </si>
  <si>
    <t>120/208</t>
  </si>
  <si>
    <t>277/480</t>
  </si>
  <si>
    <t>Subtotal</t>
  </si>
  <si>
    <t>Transformers</t>
  </si>
  <si>
    <t>Services</t>
  </si>
  <si>
    <t>Meters</t>
  </si>
  <si>
    <t>Unit Cost</t>
  </si>
  <si>
    <t>Meter</t>
  </si>
  <si>
    <t>Average</t>
  </si>
  <si>
    <t>($)</t>
  </si>
  <si>
    <t>($/Cust)</t>
  </si>
  <si>
    <t>($/Unit)</t>
  </si>
  <si>
    <t>(Cust)</t>
  </si>
  <si>
    <t>Average Cust Cost</t>
  </si>
  <si>
    <t>Cost Component</t>
  </si>
  <si>
    <t>Class</t>
  </si>
  <si>
    <t>TSM Components</t>
  </si>
  <si>
    <t>O&amp;M Expenses</t>
  </si>
  <si>
    <t xml:space="preserve">    Services</t>
  </si>
  <si>
    <t xml:space="preserve">    Meters</t>
  </si>
  <si>
    <t xml:space="preserve">    Transformers </t>
  </si>
  <si>
    <t>RESIDENTIAL CLASS TSM COSTS</t>
  </si>
  <si>
    <t>A6-TOU</t>
  </si>
  <si>
    <t>PA</t>
  </si>
  <si>
    <t>Billing</t>
  </si>
  <si>
    <t>Allocation Factors</t>
  </si>
  <si>
    <t>DISTRIBUTION O&amp;M ALLOCATION</t>
  </si>
  <si>
    <t>O&amp;M per Cust</t>
  </si>
  <si>
    <t>Customer Accounts/Services</t>
  </si>
  <si>
    <t>Lighting</t>
  </si>
  <si>
    <t>Number of Customers</t>
  </si>
  <si>
    <t>Working Capital at</t>
  </si>
  <si>
    <t>General Plant Loading at</t>
  </si>
  <si>
    <t>Residential</t>
  </si>
  <si>
    <t>Agriculture</t>
  </si>
  <si>
    <t>TSM Capital Costs</t>
  </si>
  <si>
    <t>Allocation Factor</t>
  </si>
  <si>
    <t>TSM Capital Costs Allocator</t>
  </si>
  <si>
    <t>GRC Escalators</t>
  </si>
  <si>
    <t>Marginal Customer Cost Development Loading Factors</t>
  </si>
  <si>
    <t>DR-TOU</t>
  </si>
  <si>
    <t>DR-SES</t>
  </si>
  <si>
    <t>DT-RV</t>
  </si>
  <si>
    <t>A-TC</t>
  </si>
  <si>
    <t>A-TOU</t>
  </si>
  <si>
    <t>Schedule A-TC</t>
  </si>
  <si>
    <t>Schedule A-TOU</t>
  </si>
  <si>
    <t>UM</t>
  </si>
  <si>
    <t>AL-TOU</t>
  </si>
  <si>
    <t>PA-T-1</t>
  </si>
  <si>
    <t>Small Commercial Class</t>
  </si>
  <si>
    <t xml:space="preserve">      Secondary Voltage Service</t>
  </si>
  <si>
    <t xml:space="preserve">      Primary Voltage Service</t>
  </si>
  <si>
    <t>Agricultural Class</t>
  </si>
  <si>
    <t>Rental (RECC)</t>
  </si>
  <si>
    <t>Small Commercial Class Average</t>
  </si>
  <si>
    <t>Line</t>
  </si>
  <si>
    <t>SCH DT-RV TSM COSTS</t>
  </si>
  <si>
    <t>SCH DR-TOU TSM COSTS</t>
  </si>
  <si>
    <t>SCH DR-SES TSM COSTS</t>
  </si>
  <si>
    <t>SCH DM TSM COSTS</t>
  </si>
  <si>
    <t>SCH DS TSM COSTS</t>
  </si>
  <si>
    <t>SCH DT TSM COSTS</t>
  </si>
  <si>
    <t>SCH DR TSM COSTS</t>
  </si>
  <si>
    <t>Total ($/Customer/Year)</t>
  </si>
  <si>
    <t>Total  ($/Customer/Year)</t>
  </si>
  <si>
    <t>Transmission</t>
  </si>
  <si>
    <t>&gt; 12 MW</t>
  </si>
  <si>
    <t>Trans</t>
  </si>
  <si>
    <t>Check</t>
  </si>
  <si>
    <t>0-5 kW</t>
  </si>
  <si>
    <t>EV-TOU-2</t>
  </si>
  <si>
    <t>EV-TOU</t>
  </si>
  <si>
    <t>Small Commercial</t>
  </si>
  <si>
    <t>DG-R</t>
  </si>
  <si>
    <t xml:space="preserve">Medium/Large Commercial/Industrial </t>
  </si>
  <si>
    <t>System</t>
  </si>
  <si>
    <t>RESIDENTIAL CLASS TSM SUMMARY</t>
  </si>
  <si>
    <t xml:space="preserve">    Transformers</t>
  </si>
  <si>
    <t>3-Phase</t>
  </si>
  <si>
    <t>277/480 3-Phase</t>
  </si>
  <si>
    <t>120/240 3-Phase</t>
  </si>
  <si>
    <t>120/208 3-Phase</t>
  </si>
  <si>
    <t>21 - 25</t>
  </si>
  <si>
    <t>Total - Residential Class</t>
  </si>
  <si>
    <t>1-Phase</t>
  </si>
  <si>
    <t>Total - Small Commercial Class</t>
  </si>
  <si>
    <t>151 - 200</t>
  </si>
  <si>
    <t>201 - 250</t>
  </si>
  <si>
    <t>451 - 500</t>
  </si>
  <si>
    <t>501 - 550</t>
  </si>
  <si>
    <t>13 - 20</t>
  </si>
  <si>
    <t>5,001 - 12,000</t>
  </si>
  <si>
    <t>12,001 - 25,000</t>
  </si>
  <si>
    <t>120/240 1-Phase</t>
  </si>
  <si>
    <t>&gt;5 - 20 kW</t>
  </si>
  <si>
    <t>&gt;20 - 50 kW</t>
  </si>
  <si>
    <t>&gt;50 kW</t>
  </si>
  <si>
    <t>SCHEDULE A-TC TSM COSTS</t>
  </si>
  <si>
    <t>SECONDARY</t>
  </si>
  <si>
    <t>PRIMARY</t>
  </si>
  <si>
    <t>&lt; 20 kW</t>
  </si>
  <si>
    <r>
      <rPr>
        <b/>
        <sz val="10"/>
        <rFont val="Calibri"/>
        <family val="2"/>
      </rPr>
      <t>≥</t>
    </r>
    <r>
      <rPr>
        <b/>
        <sz val="10"/>
        <rFont val="Arial"/>
        <family val="2"/>
      </rPr>
      <t xml:space="preserve"> 20 kW</t>
    </r>
  </si>
  <si>
    <t>120/ 240 1-Phase</t>
  </si>
  <si>
    <t>277/240</t>
  </si>
  <si>
    <t>Secondary Total</t>
  </si>
  <si>
    <t>&gt; 500 kW - 12 MW</t>
  </si>
  <si>
    <t>SCHEDULE AL-TOU - CUSTOMERS</t>
  </si>
  <si>
    <t>A6-TOU Total</t>
  </si>
  <si>
    <t>SCHEDULE A-TOU TSM COSTS</t>
  </si>
  <si>
    <t>Secondary A-TOU Total</t>
  </si>
  <si>
    <t>Secondary A-TC Total</t>
  </si>
  <si>
    <t>RESIDENTIAL TSM UNIT COSTS</t>
  </si>
  <si>
    <t>SCHEDULE DR TOTAL</t>
  </si>
  <si>
    <t>SCHEDULE DM TOTAL</t>
  </si>
  <si>
    <t>SCHEDULE DS TOTAL</t>
  </si>
  <si>
    <t>SCHEDULE DT TOTAL</t>
  </si>
  <si>
    <t>SCHEDULE DT-RV TOTAL</t>
  </si>
  <si>
    <t>SCHEDULE DR-TOU TOTAL</t>
  </si>
  <si>
    <t>SCHEDULE DR-SES TOTAL</t>
  </si>
  <si>
    <t>SCHEDULE EV-TOU TOTAL</t>
  </si>
  <si>
    <t>SCH EV-TOU TSM COSTS</t>
  </si>
  <si>
    <t>SCHEDULE EV-TOU-2 TOTAL</t>
  </si>
  <si>
    <t>SCH EV-TOU-2 TSM COSTS</t>
  </si>
  <si>
    <t>Average Customer Costs</t>
  </si>
  <si>
    <t>check</t>
  </si>
  <si>
    <t>OL-TOU</t>
  </si>
  <si>
    <t>Advanced Metering</t>
  </si>
  <si>
    <t>Credit &amp; Collections</t>
  </si>
  <si>
    <t>Remittance Processing</t>
  </si>
  <si>
    <t>Branch Offices</t>
  </si>
  <si>
    <t>Residential Customer Services</t>
  </si>
  <si>
    <t>Total ($/Customer-Year)</t>
  </si>
  <si>
    <t>&lt; 20 kW ($/Customer-Year)</t>
  </si>
  <si>
    <t>Sec Total</t>
  </si>
  <si>
    <t>Pri Total</t>
  </si>
  <si>
    <t>Schedule A-TC TSM SUMMARY</t>
  </si>
  <si>
    <t>Schedule A-TOU TSM SUMMARY</t>
  </si>
  <si>
    <t xml:space="preserve">         0-5 kW</t>
  </si>
  <si>
    <t xml:space="preserve">      &gt;5-20 kW</t>
  </si>
  <si>
    <t xml:space="preserve">      &gt;20-50 kW</t>
  </si>
  <si>
    <t>&gt; 20 MW</t>
  </si>
  <si>
    <t xml:space="preserve">      Secondary</t>
  </si>
  <si>
    <t xml:space="preserve">      Primary</t>
  </si>
  <si>
    <r>
      <t xml:space="preserve">      </t>
    </r>
    <r>
      <rPr>
        <b/>
        <sz val="10"/>
        <rFont val="Calibri"/>
        <family val="2"/>
      </rPr>
      <t>≥</t>
    </r>
    <r>
      <rPr>
        <b/>
        <sz val="10"/>
        <rFont val="Arial"/>
        <family val="2"/>
      </rPr>
      <t xml:space="preserve"> 20 kW</t>
    </r>
  </si>
  <si>
    <t xml:space="preserve">         &lt; 20 kW</t>
  </si>
  <si>
    <t>SCHEDULE PA-T-1 TSM SUMMARY</t>
  </si>
  <si>
    <t>PA-T-1 Total</t>
  </si>
  <si>
    <t>SCHEDULE A6-TOU TSM SUMMARY</t>
  </si>
  <si>
    <t>Customers by Service Voltage Level</t>
  </si>
  <si>
    <t>&gt; 500 - 12 MW</t>
  </si>
  <si>
    <t>&gt; 12 MW kW</t>
  </si>
  <si>
    <r>
      <rPr>
        <b/>
        <sz val="10"/>
        <rFont val="Calibri"/>
        <family val="2"/>
      </rPr>
      <t>≤</t>
    </r>
    <r>
      <rPr>
        <b/>
        <sz val="10"/>
        <rFont val="Arial"/>
        <family val="2"/>
      </rPr>
      <t xml:space="preserve"> 500 kW</t>
    </r>
  </si>
  <si>
    <t>SCHEDULE PA-T-1 TSM COSTS</t>
  </si>
  <si>
    <t>SCHEDULE A6-TOU TSM COSTS</t>
  </si>
  <si>
    <t>SCHEDULE A6-TOU CUSTOMERS</t>
  </si>
  <si>
    <t>≤ 500 kW</t>
  </si>
  <si>
    <t>DG-R Total</t>
  </si>
  <si>
    <t>SCHEDULE DG-R - CUSTOMERS</t>
  </si>
  <si>
    <t>SCHEDULE DG-R TSM COSTS</t>
  </si>
  <si>
    <t>SCHEDULE DG-R TSM SUMMARY</t>
  </si>
  <si>
    <t>SCHEDULE OL-TOU TSM COSTS</t>
  </si>
  <si>
    <t>SCHEDULE OL-TOU - CUSTOMERS</t>
  </si>
  <si>
    <t>SCHEDULE OL-TOU TSM SUMMARY</t>
  </si>
  <si>
    <t>SCHEDULE AL-TOU TSM COSTS</t>
  </si>
  <si>
    <t>Trans Total</t>
  </si>
  <si>
    <t>SCHEDULE AL-TOU TSM SUMMARY</t>
  </si>
  <si>
    <t xml:space="preserve">    &gt; 500 kW - 12MW</t>
  </si>
  <si>
    <t xml:space="preserve">    &gt; 12 MW</t>
  </si>
  <si>
    <r>
      <rPr>
        <sz val="10"/>
        <rFont val="Calibri"/>
        <family val="2"/>
      </rPr>
      <t xml:space="preserve">     ≤</t>
    </r>
    <r>
      <rPr>
        <sz val="10"/>
        <rFont val="Arial"/>
        <family val="2"/>
      </rPr>
      <t xml:space="preserve"> 500 kW</t>
    </r>
  </si>
  <si>
    <t>DG_R</t>
  </si>
  <si>
    <r>
      <rPr>
        <sz val="10"/>
        <rFont val="Calibri"/>
        <family val="2"/>
      </rPr>
      <t xml:space="preserve">     ≤</t>
    </r>
    <r>
      <rPr>
        <sz val="10"/>
        <rFont val="Arial"/>
        <family val="2"/>
      </rPr>
      <t xml:space="preserve"> 20 kW</t>
    </r>
  </si>
  <si>
    <t xml:space="preserve">    &gt; 20 kW</t>
  </si>
  <si>
    <t>Customers:</t>
  </si>
  <si>
    <t xml:space="preserve">    &gt; 5 - 20 kW</t>
  </si>
  <si>
    <r>
      <t xml:space="preserve">    </t>
    </r>
    <r>
      <rPr>
        <sz val="10"/>
        <rFont val="Calibri"/>
        <family val="2"/>
      </rPr>
      <t xml:space="preserve">≤ </t>
    </r>
    <r>
      <rPr>
        <sz val="10"/>
        <rFont val="Arial"/>
        <family val="2"/>
      </rPr>
      <t>5</t>
    </r>
    <r>
      <rPr>
        <sz val="8.5"/>
        <rFont val="Arial"/>
        <family val="2"/>
      </rPr>
      <t xml:space="preserve"> </t>
    </r>
    <r>
      <rPr>
        <sz val="10"/>
        <rFont val="Arial"/>
        <family val="2"/>
      </rPr>
      <t>kW</t>
    </r>
  </si>
  <si>
    <t xml:space="preserve">    &gt; 20 - 50 kW</t>
  </si>
  <si>
    <t xml:space="preserve">    &gt; 50 kW</t>
  </si>
  <si>
    <t xml:space="preserve">      Transmission Voltage Service</t>
  </si>
  <si>
    <t>Agricultural Class Average</t>
  </si>
  <si>
    <t>Schedule UM</t>
  </si>
  <si>
    <t>SCHEDULE UM TSM COSTS</t>
  </si>
  <si>
    <t>Schedule UM TSM SUMMARY</t>
  </si>
  <si>
    <t>Secondary UM Total</t>
  </si>
  <si>
    <t>Number of Lamps</t>
  </si>
  <si>
    <t>Residential Class</t>
  </si>
  <si>
    <t xml:space="preserve">DT </t>
  </si>
  <si>
    <t>Medium/Large Commercial &amp; Industrial Class</t>
  </si>
  <si>
    <t xml:space="preserve">Shared </t>
  </si>
  <si>
    <t>Customer Contact Center Operations</t>
  </si>
  <si>
    <t xml:space="preserve">Customer Contact Center Support </t>
  </si>
  <si>
    <t xml:space="preserve">      &gt;50 kW</t>
  </si>
  <si>
    <t>Customer Services Field</t>
  </si>
  <si>
    <t>CUSTOMER SERVICE COST ALLOCATIONS</t>
  </si>
  <si>
    <t>Forecasted 2016 Customers</t>
  </si>
  <si>
    <t>Allocation of Forecasted Customer Services Costs</t>
  </si>
  <si>
    <t>Total Customer Services Costs Per Customer</t>
  </si>
  <si>
    <t>O&amp;M Costs per Rate Schedule</t>
  </si>
  <si>
    <t>Unmetered Lighting</t>
  </si>
  <si>
    <t>TSM Components per Lamp basis</t>
  </si>
  <si>
    <t>Annualized Cost per Lamp</t>
  </si>
  <si>
    <t>Total ($/Lamp/Year)</t>
  </si>
  <si>
    <t xml:space="preserve">      Secondary Average</t>
  </si>
  <si>
    <t xml:space="preserve">      Primary Average</t>
  </si>
  <si>
    <r>
      <t xml:space="preserve">            </t>
    </r>
    <r>
      <rPr>
        <b/>
        <sz val="10"/>
        <rFont val="Calibri"/>
        <family val="2"/>
      </rPr>
      <t>≤</t>
    </r>
    <r>
      <rPr>
        <b/>
        <sz val="10"/>
        <rFont val="Arial"/>
        <family val="2"/>
      </rPr>
      <t xml:space="preserve"> 500 kW</t>
    </r>
  </si>
  <si>
    <t xml:space="preserve">            &gt; 500 - 12 MW</t>
  </si>
  <si>
    <t xml:space="preserve">            &gt; 12 MW</t>
  </si>
  <si>
    <t xml:space="preserve">      Transmission Average</t>
  </si>
  <si>
    <t>13 - 19</t>
  </si>
  <si>
    <t>20 - 25</t>
  </si>
  <si>
    <r>
      <rPr>
        <b/>
        <sz val="10"/>
        <rFont val="Calibri"/>
        <family val="2"/>
      </rPr>
      <t>≤</t>
    </r>
    <r>
      <rPr>
        <b/>
        <sz val="10"/>
        <rFont val="Arial"/>
        <family val="2"/>
      </rPr>
      <t xml:space="preserve"> 20 MW</t>
    </r>
  </si>
  <si>
    <t>Total-Agricultural Class</t>
  </si>
  <si>
    <t>MEDIUM/LARGE C&amp;I TSM SUMMARY</t>
  </si>
  <si>
    <t>Total - Medium/Large C&amp;I</t>
  </si>
  <si>
    <t>AGRICULTURAL TSM SUMMARY</t>
  </si>
  <si>
    <t>Tran Total</t>
  </si>
  <si>
    <t>SMALL COMMERCIAL TSM SUMMARY</t>
  </si>
  <si>
    <t>Small Commercial Total</t>
  </si>
  <si>
    <t>3 - 4</t>
  </si>
  <si>
    <t>5 - 6</t>
  </si>
  <si>
    <t>NON-RESIDENTIAL TSM COSTS</t>
  </si>
  <si>
    <t>AL-TOU TOTAL</t>
  </si>
  <si>
    <t>Secondary - OL-TOU Total</t>
  </si>
  <si>
    <t>Medium/Large Commercial &amp; Industrial Class Average</t>
  </si>
  <si>
    <t>PA-T-1 TOTAL</t>
  </si>
  <si>
    <t>AL-TOU Total</t>
  </si>
  <si>
    <t>TRANSMISSION</t>
  </si>
  <si>
    <t>DGR TOTAL</t>
  </si>
  <si>
    <t>A6-TOU TOTAL</t>
  </si>
  <si>
    <t>OL-TOU TOTAL</t>
  </si>
  <si>
    <t>Monthly</t>
  </si>
  <si>
    <t>Residential Total</t>
  </si>
  <si>
    <t>Average Annual Cost 
by Class</t>
  </si>
  <si>
    <r>
      <rPr>
        <b/>
        <sz val="10"/>
        <rFont val="Calibri"/>
        <family val="2"/>
      </rPr>
      <t>≥</t>
    </r>
    <r>
      <rPr>
        <b/>
        <sz val="10"/>
        <rFont val="Arial"/>
        <family val="2"/>
      </rPr>
      <t xml:space="preserve"> 20 kW ($/Customer-Year)</t>
    </r>
  </si>
  <si>
    <t>Lighting Related Distribution O&amp;M with A&amp;G applied to O&amp;M :</t>
  </si>
  <si>
    <t>Cust Related Distribution O&amp;M</t>
  </si>
  <si>
    <t>Average O&amp;M Costs per Customer per Rate Schedule</t>
  </si>
  <si>
    <t>Sec-Total</t>
  </si>
  <si>
    <t>SMALL COMMERCIAL CUSTOMERS</t>
  </si>
  <si>
    <t>RESIDENTIAL CUSTOMERS</t>
  </si>
  <si>
    <t>Residential Class Average</t>
  </si>
  <si>
    <t>Tab Descriptions</t>
  </si>
  <si>
    <t>No.</t>
  </si>
  <si>
    <t>Tab Name</t>
  </si>
  <si>
    <t>Tab Description</t>
  </si>
  <si>
    <t>Description of Tabs in Workpaper</t>
  </si>
  <si>
    <t>Marg Cust Cost Summary</t>
  </si>
  <si>
    <t>Summary of Marginal Distribution Customer Costs by Customer Class</t>
  </si>
  <si>
    <t>Marg Cust Cost by Rate Schedule</t>
  </si>
  <si>
    <t>Calculation of Marginal Distribution Customer Costs by Rate Schedule</t>
  </si>
  <si>
    <t>Inputs</t>
  </si>
  <si>
    <t>Loading Factor and Escalation Inputs used in Workpaper</t>
  </si>
  <si>
    <t>Resid Cust Fcst</t>
  </si>
  <si>
    <t>Resid TSM UC</t>
  </si>
  <si>
    <t>Residential Class Transformer, Services, and Meter Unit Costs</t>
  </si>
  <si>
    <t>Resid TSM Summary</t>
  </si>
  <si>
    <t>Residential Class Transformer, Services, and Meter Costs by Rate Schedule</t>
  </si>
  <si>
    <t>Resid Cust Cost Summary</t>
  </si>
  <si>
    <t>Sch DR TSM</t>
  </si>
  <si>
    <t>Schedule DR Transformer, Services, and Meter Summary Costs</t>
  </si>
  <si>
    <t>Sch DM TSM</t>
  </si>
  <si>
    <t>Schedule DM Transformer, Services, and Meter Summary Costs</t>
  </si>
  <si>
    <t>Sch DS TSM</t>
  </si>
  <si>
    <t>Schedule DS Transformer, Services, and Meter Summary Costs</t>
  </si>
  <si>
    <t>Sch DT TSM</t>
  </si>
  <si>
    <t>Schedule DT Transformer, Services, and Meter Summary Costs</t>
  </si>
  <si>
    <t>Sch DT-RV TSM</t>
  </si>
  <si>
    <t>Schedule DT-RV Transformer, Services, and Meter Summary Costs</t>
  </si>
  <si>
    <t>Sch DR-TOU TSM</t>
  </si>
  <si>
    <t>Schedule DR-TOU Transformer, Services, and Meter Summary Costs</t>
  </si>
  <si>
    <t>Sch DRSES TSM</t>
  </si>
  <si>
    <t>Schedule DR-SES Transformer, Services, and Meter Summary Costs</t>
  </si>
  <si>
    <t>Sch EV-TOU TSM</t>
  </si>
  <si>
    <t>Schedule EV-TOU Transformer, Services, and Meter Summary Costs</t>
  </si>
  <si>
    <t>Sch EV-TOU-2 TSM</t>
  </si>
  <si>
    <t>Schedule EV-TOU-2 Transformer, Services, and Meter Summary Costs</t>
  </si>
  <si>
    <t>Small Commercial Class Transformer, Services, and Meter Summary Costs by Service Voltage Level and kW Size</t>
  </si>
  <si>
    <t>Sch A-TC TSM</t>
  </si>
  <si>
    <t>Schedule A-TC Transformer, Services, and Meter Costs</t>
  </si>
  <si>
    <t>Sch A-TC TSM Summary</t>
  </si>
  <si>
    <t>Schedule A-TC Transformer, Services, and Meter Summary Costs by Service Voltage Level and kW Size</t>
  </si>
  <si>
    <t>Sch A-TC Cust Cost Summary</t>
  </si>
  <si>
    <t>Sch A-TOU TSM</t>
  </si>
  <si>
    <t>Schedule A-TOU Transformer, Services, and Meter Costs</t>
  </si>
  <si>
    <t>Sch A-TOU TSM Summary</t>
  </si>
  <si>
    <t>Schedule A-TOU Transformer, Services, and Meter Summary Costs by Service Voltage Level and kW Size</t>
  </si>
  <si>
    <t>Sch A-TOU Cust Cost Summary</t>
  </si>
  <si>
    <t>Sch UM TSM</t>
  </si>
  <si>
    <t>Schedule UM Transformer, Services, and Meter Costs</t>
  </si>
  <si>
    <t>Sch UM TSM Summary</t>
  </si>
  <si>
    <t>Schedule UM Transformer, Services, and Meter Summary Costs by Service Voltage Level and kW Size</t>
  </si>
  <si>
    <t>Sch UM Cust Cost Summary</t>
  </si>
  <si>
    <t>M-L C&amp;I TSM Summary</t>
  </si>
  <si>
    <t>Medium/Large Commercial and Industrial Class Transformer, Services, and Meter Summary Costs by Service Voltage Level and kW Size</t>
  </si>
  <si>
    <t>Sch OL-TOU Cust Fcst</t>
  </si>
  <si>
    <t>Sch OL-TOU TSM</t>
  </si>
  <si>
    <t>Schedule OL-TOU Transformer, Services, and Meter Costs</t>
  </si>
  <si>
    <t>Sch OL-TOU TSM Summary</t>
  </si>
  <si>
    <t>Schedule OL-TOU Transformer, Services, and Meter Summary Costs by Service Voltage Level and kW Size</t>
  </si>
  <si>
    <t>Sch OL-TOU Cust Cost Summary</t>
  </si>
  <si>
    <t>Sch AL-TOU Cust Fcst</t>
  </si>
  <si>
    <t>Sch AL-TOU TSM</t>
  </si>
  <si>
    <t>Schedule AL-TOU Transformer, Services, and Meter Costs</t>
  </si>
  <si>
    <t>Sch AL-TOU TSM Summary</t>
  </si>
  <si>
    <t>Schedule AL-TOU Transformer, Services, and Meter Summary Costs by Service Voltage Level and kW Size</t>
  </si>
  <si>
    <t>Sch AL-TOU Cust Cost Summary</t>
  </si>
  <si>
    <t>Sch DG-R Cust Fcst</t>
  </si>
  <si>
    <t>Sch DG-R TSM</t>
  </si>
  <si>
    <t>Schedule DG-R Transformer, Services, and Meter Costs</t>
  </si>
  <si>
    <t>Sch DG-R TSM Summary</t>
  </si>
  <si>
    <t>Schedule DG-R Transformer, Services, and Meter Summary Costs by Service Voltage Level and kW Size</t>
  </si>
  <si>
    <t>Sch DG-R Cust Cost Summary</t>
  </si>
  <si>
    <t>Sch A6-TOU Cust Fcst</t>
  </si>
  <si>
    <t>Sch A6-TOU TSM</t>
  </si>
  <si>
    <t>Schedule A6-TOU Transformer, Services, and Meter Costs</t>
  </si>
  <si>
    <t>Sch A6-TOU TSM Summary</t>
  </si>
  <si>
    <t>Schedule A6-TOU Transformer, Services, and Meter Summary Costs by Service Voltage Level and kW Size</t>
  </si>
  <si>
    <t>Sch A6-TOU Cust Cost Summary</t>
  </si>
  <si>
    <t>Agricultural Class Transformer, Services, and Meter Summary Costs by Service Voltage Level and kW Size</t>
  </si>
  <si>
    <t>Sch PA-T-1 Cust Fcst</t>
  </si>
  <si>
    <t>Sch PA-T-1 TSM</t>
  </si>
  <si>
    <t>Schedule PA-T-1 Transformer, Services, and Meter Costs</t>
  </si>
  <si>
    <t>Sch PA-T-1 TSM Summary</t>
  </si>
  <si>
    <t>Schedule PA-T-1 Transformer, Services, and Meter Summary Costs by Service Voltage Level and kW Size</t>
  </si>
  <si>
    <t>Sch PA-T-1 Cust Cost Summary</t>
  </si>
  <si>
    <t>Non-Residential TSM UC</t>
  </si>
  <si>
    <t>Non-Residential Class Transformer, Services, and Meter Unit Costs</t>
  </si>
  <si>
    <t>Cust Service Cost Allocations</t>
  </si>
  <si>
    <t>Electric Distribution Customer Cost Allocations by Rate Schedules</t>
  </si>
  <si>
    <t>TSM Cap Cost Allocations</t>
  </si>
  <si>
    <t>Transformer, Services, and Meter Cost Allocations by Rate Schedules</t>
  </si>
  <si>
    <t>Distribution O&amp;M Allocations</t>
  </si>
  <si>
    <t>Electric Distribution O&amp;M Allocations by Rate Schedules</t>
  </si>
  <si>
    <t>Residential Class Transformer, Services, and Meter Costs</t>
  </si>
  <si>
    <t>Resid TSM Sum by Rate Schedule</t>
  </si>
  <si>
    <t>M-L C&amp;I Cust Cost Summary</t>
  </si>
  <si>
    <t>Cust Related Distribution O&amp;M:</t>
  </si>
  <si>
    <t>Lighting Related Distribution O&amp;M:</t>
  </si>
  <si>
    <t>A&amp;G O&amp;M Loader at</t>
  </si>
  <si>
    <t>General Plant Loading Factor =</t>
  </si>
  <si>
    <t>(4) Input data in blue font comes from a separate source file.</t>
  </si>
  <si>
    <t>(3) Input data in blue font comes from a separate source file.</t>
  </si>
  <si>
    <t>(2) Input data in blue font comes from a separate source file.</t>
  </si>
  <si>
    <t>Note:</t>
  </si>
  <si>
    <t>A&amp;G O&amp;M Non-Plant Loading Factor =</t>
  </si>
  <si>
    <t>Service RECC =</t>
  </si>
  <si>
    <t>Meter RECC  =</t>
  </si>
  <si>
    <t>Annualized TSM Cost</t>
  </si>
  <si>
    <r>
      <t>Annual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</t>
    </r>
  </si>
  <si>
    <t>Marginal Customer Cost Summary by Rate Schedules ($/Customer-Year)</t>
  </si>
  <si>
    <t xml:space="preserve">     associated with distribution plant excluding wild fire claims costs, as proposed by ORA and UCAN.</t>
  </si>
  <si>
    <t xml:space="preserve">     Exhibit SDG&amp;E-39, in SDG&amp;E's TY 2019 GRC Phase 1 (A.17-10-007).</t>
  </si>
  <si>
    <t xml:space="preserve">     in SDG&amp;E's TY 2019 GRC Phase 1 (A.17-10-007).</t>
  </si>
  <si>
    <t>2020 TSM Escalator =</t>
  </si>
  <si>
    <t>2020 O&amp;M Escalator =</t>
  </si>
  <si>
    <t>2020 Cust Acct/Services Escalator =</t>
  </si>
  <si>
    <t>2020 Miscellaneous Service Revenues =</t>
  </si>
  <si>
    <t>Total Forecasted 2020 Customers =</t>
  </si>
  <si>
    <t>2020 Miscellaneous Revenue per Customer =</t>
  </si>
  <si>
    <t>TOU-DR</t>
  </si>
  <si>
    <t>SCHEDULE TOU-PA - CUSTOMERS</t>
  </si>
  <si>
    <t>SCHEDULE TOU-PA TSM COSTS</t>
  </si>
  <si>
    <t>TOU-PA TOTAL</t>
  </si>
  <si>
    <t>SCHEDULE TOU-PA TSM SUMMARY</t>
  </si>
  <si>
    <t>TOU-PA Total</t>
  </si>
  <si>
    <t>RENTAL - SCHEDULE TOU-PA - 2020$</t>
  </si>
  <si>
    <t>RENTAL - SCHEDULE PA-T-1 - 2020$</t>
  </si>
  <si>
    <t>RENTAL - SCHEDULE A6-TOU - 2020$</t>
  </si>
  <si>
    <t>RENTAL - SCHEDULE DG-R - 2020$</t>
  </si>
  <si>
    <t>RENTAL - SCHEDULE OL-TOU - 2020$</t>
  </si>
  <si>
    <t>RENTAL - RESIDENTIAL CLASS - $2020</t>
  </si>
  <si>
    <t>SCH TOU-DR TSM COSTS</t>
  </si>
  <si>
    <t>TOU-PA</t>
  </si>
  <si>
    <t>Schedule TOU-A</t>
  </si>
  <si>
    <t>(1) TSM Components per Lamp based on data from Street Light TSM Costs file.</t>
  </si>
  <si>
    <t>(2) Number of Lamps based on data from Street Light TSM Costs file.</t>
  </si>
  <si>
    <t>Sch TOU-DR TSM</t>
  </si>
  <si>
    <t>Schedule TOU-DR Transformer, Services, and Meter Summary Costs</t>
  </si>
  <si>
    <t>SCH TOU-A TSM COSTS</t>
  </si>
  <si>
    <t>SCHEDULE TOU-A TOTAL</t>
  </si>
  <si>
    <t>Schedule TOU-A TSM SUMMARY</t>
  </si>
  <si>
    <t>Schedule TOU-A Total</t>
  </si>
  <si>
    <t>Sch TOU-A TSM</t>
  </si>
  <si>
    <t>Sch TOU-A TSM Summary</t>
  </si>
  <si>
    <t>Sch TOU-A Cust Cost Summary</t>
  </si>
  <si>
    <t>Schedule TOU-A Transformer, Services, and Meter Costs</t>
  </si>
  <si>
    <t>Schedule TOU-A Transformer, Services, and Meter Summary Costs by Service Voltage Level and kW Size</t>
  </si>
  <si>
    <t>Sch TOU-PA TSM</t>
  </si>
  <si>
    <t>Sch TOU-PA TSM Summary</t>
  </si>
  <si>
    <t>Sch TOU-PA Cust Cost Summary</t>
  </si>
  <si>
    <t>Schedule TOU-PA Transformer, Services, and Meter Costs</t>
  </si>
  <si>
    <t>Schedule TOU-PA Transformer, Services, and Meter Summary Costs by Service Voltage Level and kW Size</t>
  </si>
  <si>
    <t>TOU-A</t>
  </si>
  <si>
    <t>(1) Transformers, Services and Meter ("TSM") costs represent the installed 2017 costs of TSM individual components for non-residential customers.</t>
  </si>
  <si>
    <t>RENTAL - STREETLIGHTING CLASS - 2020$</t>
  </si>
  <si>
    <t>RENTAL - AGRICULTURAL - 2020$</t>
  </si>
  <si>
    <t>RENTAL - SCHEDULE AL-TOU - 2020$</t>
  </si>
  <si>
    <t>RENTAL - MEDIUM/LARGE C&amp;I - 2020$</t>
  </si>
  <si>
    <t>Rental - Schedule UM - $2020</t>
  </si>
  <si>
    <t>RENTAL - SCHEDULE A-TOU - $2020</t>
  </si>
  <si>
    <t>RENTAL - SCHEDULE A-TC - $2020</t>
  </si>
  <si>
    <t>RENTAL - SCHEDULE TOU-A - $2020</t>
  </si>
  <si>
    <t>RENTAL - SMALL COMMERCIAL - 2020$</t>
  </si>
  <si>
    <t xml:space="preserve">     of Eric Dalton, Exhibit SDG&amp;E-40, in SDG&amp;E TY 2019 GRC Phase 1 (A.17-10-007), escalated into 2020 dollars based on</t>
  </si>
  <si>
    <t xml:space="preserve">     SDG&amp;E-39, in SDG&amp;E's TY 2019 GRC Phase 1 (A.17-10-007).</t>
  </si>
  <si>
    <t xml:space="preserve">     the forecasted escalation factors in the Direct Testimony workpapers of SDG&amp;E witness Scott R. Wilder, Exhibit</t>
  </si>
  <si>
    <t>Schedule A-TC Total</t>
  </si>
  <si>
    <t>Schedule A-TOU Total</t>
  </si>
  <si>
    <t>Schedule UM Total</t>
  </si>
  <si>
    <t>Business Customer Service</t>
  </si>
  <si>
    <t>Marketing, Research &amp; Analytics</t>
  </si>
  <si>
    <t>Customer Operation Support and Projects</t>
  </si>
  <si>
    <t>Customer Programs</t>
  </si>
  <si>
    <t>Total Customer Services Costs</t>
  </si>
  <si>
    <t>CUSTOMER COUNT</t>
  </si>
  <si>
    <t>Notes:</t>
  </si>
  <si>
    <r>
      <t xml:space="preserve">(1) </t>
    </r>
    <r>
      <rPr>
        <b/>
        <sz val="10"/>
        <rFont val="Arial"/>
        <family val="2"/>
      </rPr>
      <t>A&amp;G O&amp;M Loader</t>
    </r>
    <r>
      <rPr>
        <sz val="10"/>
        <rFont val="Arial"/>
        <family val="2"/>
      </rPr>
      <t>: based on a five-year average (2013-2017)  of administrative and general O&amp;M expenses.</t>
    </r>
  </si>
  <si>
    <r>
      <t xml:space="preserve">(2) </t>
    </r>
    <r>
      <rPr>
        <b/>
        <sz val="10"/>
        <rFont val="Arial"/>
        <family val="2"/>
      </rPr>
      <t>Cust Related Distribution O&amp;M</t>
    </r>
    <r>
      <rPr>
        <sz val="10"/>
        <rFont val="Arial"/>
        <family val="2"/>
      </rPr>
      <t>: based on 5-year average (2013-2017) of customer-related distribution O&amp;M expenses.</t>
    </r>
  </si>
  <si>
    <t>Adjusted O&amp;M Expenses</t>
  </si>
  <si>
    <t>Miscellaneous Service Revenue</t>
  </si>
  <si>
    <t>Miscellaneous Service Revenue Adjustment</t>
  </si>
  <si>
    <t>Residential 2015/2016 Allowance</t>
  </si>
  <si>
    <t>Working Capital Loading Factor =</t>
  </si>
  <si>
    <t>Rule 15/16 Adjusted TSM (A)</t>
  </si>
  <si>
    <t>Unadjusted TSM (B)</t>
  </si>
  <si>
    <t>Adjustment Factor (C=A/B)</t>
  </si>
  <si>
    <t xml:space="preserve">TSM CAPITAL COSTS ALLOCATION FOR DISTRIBUTION O&amp;M </t>
  </si>
  <si>
    <t>(TOTAL TSM CAPITAL COSTS PRIOR TO RULE 15/16 ADJUSTMENTS)</t>
  </si>
  <si>
    <r>
      <t xml:space="preserve">(1) </t>
    </r>
    <r>
      <rPr>
        <b/>
        <sz val="10"/>
        <rFont val="Arial"/>
        <family val="2"/>
      </rPr>
      <t>General Plant Loading Factor</t>
    </r>
    <r>
      <rPr>
        <sz val="10"/>
        <rFont val="Arial"/>
        <family val="2"/>
      </rPr>
      <t>: based on a five-year average (2013-2017) of SDG&amp;E plant expenses.</t>
    </r>
  </si>
  <si>
    <r>
      <t xml:space="preserve">(3) </t>
    </r>
    <r>
      <rPr>
        <b/>
        <sz val="10"/>
        <rFont val="Arial"/>
        <family val="2"/>
      </rPr>
      <t>Lighting Related Distribution O&amp;M</t>
    </r>
    <r>
      <rPr>
        <sz val="10"/>
        <rFont val="Arial"/>
        <family val="2"/>
      </rPr>
      <t>: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based on 5-year average (2013-2017) of lighting-related distribution O&amp;M expenses.</t>
    </r>
  </si>
  <si>
    <t>Residential Class Customer Forecast by Rate Schedule</t>
  </si>
  <si>
    <t>Small Commercial Class Customer Forecast by Rate Schedule</t>
  </si>
  <si>
    <t>Schedule OL-TOU Customer Forecast</t>
  </si>
  <si>
    <t>Schedule AL-TOU Customer Forecast</t>
  </si>
  <si>
    <t>Schedule DG-R Customer Forecast</t>
  </si>
  <si>
    <t>Schedule A6-TOU Customer Forecast</t>
  </si>
  <si>
    <t>Schedule PA-T-1 Customer Forecast</t>
  </si>
  <si>
    <t>Schedule TOU-PA Customer Forecast</t>
  </si>
  <si>
    <t>Sch TOU-PA Cust Fcst</t>
  </si>
  <si>
    <t xml:space="preserve">Customer Forecast by Customer Class Rate Schedules </t>
  </si>
  <si>
    <t>(1) Transformers, Services and Meter ("TSM") costs represent the installed 2017 costs of TSM individual components for residential customers.</t>
  </si>
  <si>
    <t>Street Lighting Class Average (Cost Per Lamp)</t>
  </si>
  <si>
    <t>Street Light Cust Cost Summary</t>
  </si>
  <si>
    <t>(1) Number of customers reflect the average number of residential customers by rate schedule in 2016.</t>
  </si>
  <si>
    <t>(1) Number of customers reflect the average number of small commercial customers by rate schedule in 2016.</t>
  </si>
  <si>
    <t>(1) Number of customers reflect the average number of Schedule OL-TOU customers in 2016.</t>
  </si>
  <si>
    <t>(1) Number of customers reflect the average number of Schedule AL-TOU customers in 2016.</t>
  </si>
  <si>
    <t>(1) Number of customers reflect the average number of Schedule DG-R customers in 2016.</t>
  </si>
  <si>
    <t>(1) Number of customers reflect the average number of Schedule A6-TOU customers in 2016.</t>
  </si>
  <si>
    <t>(1) Number of customers reflect the average number of Schedule PA-T-1 customers in 2016.</t>
  </si>
  <si>
    <t>(1) Number of customers reflect the average number of Schedule PA customers in 2016.</t>
  </si>
  <si>
    <t>School</t>
  </si>
  <si>
    <t>Non-Lighting</t>
  </si>
  <si>
    <t>Forecast Non-School Customers</t>
  </si>
  <si>
    <t>Forecast School Customers</t>
  </si>
  <si>
    <t>Forecast Total Customers</t>
  </si>
  <si>
    <t>Non-School</t>
  </si>
  <si>
    <t>All Classes</t>
  </si>
  <si>
    <t>(1) Transformers, Services and Meter ("TSM") costs represent the installed 2017 costs of TSM individual components for residential customers adjusted for the Rule 15/16 residential allowance cap of $3,241 per meter.</t>
  </si>
  <si>
    <t>(1) Transformers, Services and Meter ("TSM") costs represent the installed 2017 costs of TSM individual components for non-residential customers adjusted for the Rule 15/16 non-residential average allowance percentage.</t>
  </si>
  <si>
    <t>Residential Class Marginal Distribution Customer Costs by Rate Schedule in 2020 Dollars</t>
  </si>
  <si>
    <t>Small Commercial Class Marginal Distribution Customer Costs by Service Voltage Level and kW Size in 2020 Dollars</t>
  </si>
  <si>
    <t>Schedule TOU-A Marginal Distribution Customer Costs by Service Voltage Level and kW Size in 2020 Dollars</t>
  </si>
  <si>
    <t>Schedule A-TC Marginal Distribution Customer Costs by Service Voltage Level and kW Size in 2020 Dollars</t>
  </si>
  <si>
    <t>Schedule A-TOU Marginal Distribution Customer Costs by Service Voltage Level and kW Size in 2020 Dollars</t>
  </si>
  <si>
    <t>Schedule UM Marginal Distribution Customer Costs by Service Voltage Level and kW Size in 2020 Dollars</t>
  </si>
  <si>
    <t>Medium/Large Commercial and Industrial Class Marginal Distribution Customer Costs by Service Voltage Level and kW Size in 2020 Dollars</t>
  </si>
  <si>
    <t>Schedule OL-TOU Marginal Distribution Customer Costs by Service Voltage Level and kW Size in 2020 Dollars</t>
  </si>
  <si>
    <t>Schedule AL-TOU Marginal Distribution Customer Costs by Service Voltage Level and kW Size in 2020 Dollars</t>
  </si>
  <si>
    <t>Schedule DG-R Marginal Distribution Customer Costs by Service Voltage Level and kW Size in 2020 Dollars</t>
  </si>
  <si>
    <t>Schedule A6-TOU Marginal Distribution Customer Costs by Service Voltage Level and kW Size in 2020 Dollars</t>
  </si>
  <si>
    <t>Agricultural Class Marginal Distribution Customer Costs by Service Voltage Level and kW Size in 2020 Dollars</t>
  </si>
  <si>
    <t>Schedule PA-T-1 Marginal Distribution Customer Costs by Service Voltage Level and kW Size in 2020 Dollars</t>
  </si>
  <si>
    <t>Schedule TOU-PA Marginal Distribution Customer Costs by Service Voltage Level and kW Size in 2020 Dollars</t>
  </si>
  <si>
    <t>Street Light Class Marginal Distribution Customer Costs per Lamp in 2020 Dollars</t>
  </si>
  <si>
    <t xml:space="preserve">     average percentage of costs paid by SDG&amp;E for non-residential TSM installations.</t>
  </si>
  <si>
    <t>Non-Residential Forecasted Allowance Percentage</t>
  </si>
  <si>
    <r>
      <t xml:space="preserve">(2) </t>
    </r>
    <r>
      <rPr>
        <b/>
        <sz val="10"/>
        <rFont val="Arial"/>
        <family val="2"/>
      </rPr>
      <t>Working Capital Loading Factor</t>
    </r>
    <r>
      <rPr>
        <sz val="10"/>
        <rFont val="Arial"/>
        <family val="2"/>
      </rPr>
      <t>: is the average net working capital loading factor based on recorded expenses presented</t>
    </r>
  </si>
  <si>
    <t xml:space="preserve">     from 2012 GRC Phase 1 (A.10-12-005) Direct Testimony of Garry Yee, Exhibit SDG&amp;E-32, Table SDG&amp;E-GGY-1.</t>
  </si>
  <si>
    <t xml:space="preserve">     in the previous three GRC Phase 1 proceedings: (a) 2016 expenses from 2019 GRC Phase I (A.17-10-007) Revised Direct</t>
  </si>
  <si>
    <t xml:space="preserve">     Testimony of Craig Gentes, Exhibit SDG&amp;E-33, Table SDG&amp;E-RCG-1; (b) 2013 expenses from 2016 GRC Phase I </t>
  </si>
  <si>
    <t xml:space="preserve">     (A.14-11-003) Direct Testimony of Jesse S. Aragon, Exhibit SDG&amp;E-27, Table SDG&amp;E-JSA-1; and (c) 2009 expenses</t>
  </si>
  <si>
    <r>
      <t xml:space="preserve">(3) </t>
    </r>
    <r>
      <rPr>
        <b/>
        <sz val="10"/>
        <rFont val="Arial"/>
        <family val="2"/>
      </rPr>
      <t>TSM RECC</t>
    </r>
    <r>
      <rPr>
        <sz val="10"/>
        <rFont val="Arial"/>
        <family val="2"/>
      </rPr>
      <t>: represents the calculated annual investment amounts for TSM assets.</t>
    </r>
  </si>
  <si>
    <r>
      <t xml:space="preserve">(4) </t>
    </r>
    <r>
      <rPr>
        <b/>
        <sz val="10"/>
        <rFont val="Arial"/>
        <family val="2"/>
      </rPr>
      <t>A&amp;G O&amp;M Non-Plant Loading Factor</t>
    </r>
    <r>
      <rPr>
        <sz val="10"/>
        <rFont val="Arial"/>
        <family val="2"/>
      </rPr>
      <t>: based on five-year average (2013-2017) of administrative and general expenses</t>
    </r>
  </si>
  <si>
    <r>
      <t xml:space="preserve">(5) </t>
    </r>
    <r>
      <rPr>
        <b/>
        <sz val="10"/>
        <rFont val="Arial"/>
        <family val="2"/>
      </rPr>
      <t>2020 TSM Escalator</t>
    </r>
    <r>
      <rPr>
        <sz val="10"/>
        <rFont val="Arial"/>
        <family val="2"/>
      </rPr>
      <t xml:space="preserve">: from the Direct Testimony workpapers of SDG&amp;E witness Scott R. Wilder, Exhibit SDG&amp;E-39, </t>
    </r>
  </si>
  <si>
    <r>
      <t xml:space="preserve">(6) </t>
    </r>
    <r>
      <rPr>
        <b/>
        <sz val="10"/>
        <rFont val="Arial"/>
        <family val="2"/>
      </rPr>
      <t>2020 O&amp;M Escalator</t>
    </r>
    <r>
      <rPr>
        <sz val="10"/>
        <rFont val="Arial"/>
        <family val="2"/>
      </rPr>
      <t xml:space="preserve">: from the Direct Testimony workpapers of SDG&amp;E witness Scott R. Wilder, Exhibit SDG&amp;E-39, </t>
    </r>
  </si>
  <si>
    <r>
      <t xml:space="preserve">(7) </t>
    </r>
    <r>
      <rPr>
        <b/>
        <sz val="10"/>
        <rFont val="Arial"/>
        <family val="2"/>
      </rPr>
      <t>2020 Customer Acct/Services Escalator</t>
    </r>
    <r>
      <rPr>
        <sz val="10"/>
        <rFont val="Arial"/>
        <family val="2"/>
      </rPr>
      <t>: from the Direct Testimony workpapers of SDG&amp;E witness Scott R. Wilder,</t>
    </r>
  </si>
  <si>
    <r>
      <t xml:space="preserve">(8) </t>
    </r>
    <r>
      <rPr>
        <b/>
        <sz val="10"/>
        <rFont val="Arial"/>
        <family val="2"/>
      </rPr>
      <t>2020 Miscellaneous Service Revenues</t>
    </r>
    <r>
      <rPr>
        <sz val="10"/>
        <rFont val="Arial"/>
        <family val="2"/>
      </rPr>
      <t>: TY 2019 forecasted Miscellaneous Service Revenues from the Direct Testimony</t>
    </r>
  </si>
  <si>
    <r>
      <t xml:space="preserve">(9) </t>
    </r>
    <r>
      <rPr>
        <b/>
        <sz val="10"/>
        <rFont val="Arial"/>
        <family val="2"/>
      </rPr>
      <t>Rule 15/16 Allowances</t>
    </r>
    <r>
      <rPr>
        <sz val="10"/>
        <rFont val="Arial"/>
        <family val="2"/>
      </rPr>
      <t xml:space="preserve">: allowance reflects the capped allowance provided for residential TSM installations and the </t>
    </r>
  </si>
  <si>
    <t>(10) Input data in blue font comes from a separate source file.</t>
  </si>
  <si>
    <t>SAN DIEGO GAS &amp; ELECTRIC COMPANY ("SDG&amp;E")</t>
  </si>
  <si>
    <t>Transformer Real Economic Carrying Charge ("RECC") =</t>
  </si>
  <si>
    <t>TEST YEAR ("TY") 2019 GENERAL RATE CASE ("GRC") PHASE 2, APPLICATION ("A.") 19-03-002</t>
  </si>
  <si>
    <t>(1) Customer Service Allocation Factors for each customer services cost category (Columns K, P, AC, AH, and AI, Rows 12-40 of this file) based on the Customer Services Cost Study, as presented in the SDG&amp;E's TY 2019 GRC Phase 2 (A.19-03-002) direct testimony workpapers of SDG&amp;E witness William G. Saxe (Chapter 5), Section IV.D.</t>
  </si>
  <si>
    <t>(2) Distribution Customer Service Costs for each customer services cost category (Column AJ, Row 44-72 of this file) based on 2016 Adjusted-Recorded costs as identified in SDG&amp;E's TY 2019 GRC Phase 1  (A.17-10-007), as described in SDG&amp;E's TY 2019 GRC Phase 2 (A.19-03-002) direct  testimony workpapers of SDG&amp;E witness William G. Saxe (Chapter 5), Section IV.D.</t>
  </si>
  <si>
    <t>(3) Number of customers reflect the average number of Streetlighting customers in 2018.</t>
  </si>
  <si>
    <t>Resid TSM UC Adj</t>
  </si>
  <si>
    <t>Residential Class Transformer, Services, and Meter Unit Costs Adjusted for Rule 15/16 Allowances</t>
  </si>
  <si>
    <t>Sm Comm Cust Fcst</t>
  </si>
  <si>
    <t>Sm Comm TSM Summary</t>
  </si>
  <si>
    <t>Sm Comm Cust Cost Summary</t>
  </si>
  <si>
    <t>Agric TSM Summary</t>
  </si>
  <si>
    <t>Agric Cust Cost Summary</t>
  </si>
  <si>
    <t>Non-Residential TSM UC Adj</t>
  </si>
  <si>
    <t>Non-Residential Class Transformer, Services, and Meter Unit Costs Adjusted for Rule 15/16 Allowances</t>
  </si>
  <si>
    <t>Total Customers</t>
  </si>
  <si>
    <t>SCHEDULE PA-T-1 CUSTOMERS</t>
  </si>
  <si>
    <t>MARGINAL DISTRIBUTION CUSTOMER COST WORKPAPERS FOR NON-SCHOOL CLASSES- CHAPTER 5 (SAXE) - REVISED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</si>
</sst>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6" formatCode="&quot;$&quot;#,##0_);[Red]\(&quot;$&quot;#,##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_(* #,##0.0000_);_(* \(#,##0.0000\);_(* &quot;-&quot;??_);_(@_)"/>
    <numFmt numFmtId="167" formatCode="&quot;$&quot;#,##0"/>
    <numFmt numFmtId="168" formatCode="0.0000%"/>
    <numFmt numFmtId="169" formatCode="0.000%"/>
    <numFmt numFmtId="170" formatCode="&quot;$&quot;#,##0.00"/>
    <numFmt numFmtId="171" formatCode="_(* #,##0.0_);_(* \(#,##0.0\);_(* &quot;-&quot;?_);_(@_)"/>
    <numFmt numFmtId="172" formatCode="0.0"/>
    <numFmt numFmtId="173" formatCode="_(* #,##0.000_);_(* \(#,##0.000\);_(* &quot;-&quot;??_);_(@_)"/>
    <numFmt numFmtId="174" formatCode="_(* #,##0.0000_);_(* \(#,##0.0000\);_(* &quot;-&quot;????_);_(@_)"/>
  </numFmts>
  <fonts count="27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26"/>
      <color indexed="10"/>
      <name val="Arial"/>
      <family val="2"/>
    </font>
    <font>
      <b/>
      <sz val="10"/>
      <color indexed="10"/>
      <name val="Arial"/>
      <family val="2"/>
    </font>
    <font>
      <b/>
      <sz val="10"/>
      <color indexed="8"/>
      <name val="Arial MT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17"/>
      <name val="Arial"/>
      <family val="2"/>
    </font>
    <font>
      <b/>
      <sz val="10"/>
      <color theme="1"/>
      <name val="Arial"/>
      <family val="2"/>
    </font>
    <font>
      <b/>
      <sz val="10"/>
      <name val="Calibri"/>
      <family val="2"/>
    </font>
    <font>
      <i/>
      <sz val="10"/>
      <name val="Arial"/>
      <family val="2"/>
    </font>
    <font>
      <sz val="10"/>
      <name val="Calibri"/>
      <family val="2"/>
    </font>
    <font>
      <u/>
      <sz val="10"/>
      <name val="Arial"/>
      <family val="2"/>
    </font>
    <font>
      <sz val="8.5"/>
      <name val="Arial"/>
      <family val="2"/>
    </font>
    <font>
      <u val="singleAccounting"/>
      <sz val="10"/>
      <name val="Arial"/>
      <family val="2"/>
    </font>
    <font>
      <i/>
      <u/>
      <sz val="10"/>
      <name val="Arial"/>
      <family val="2"/>
    </font>
    <font>
      <b/>
      <u/>
      <sz val="10"/>
      <name val="Arial"/>
      <family val="2"/>
    </font>
    <font>
      <b/>
      <sz val="10"/>
      <color rgb="FF0000FF"/>
      <name val="Arial"/>
      <family val="2"/>
    </font>
    <font>
      <sz val="12"/>
      <name val="Times New Roman"/>
      <family val="1"/>
    </font>
    <font>
      <sz val="10"/>
      <color rgb="FF0000FF"/>
      <name val="Arial"/>
      <family val="2"/>
    </font>
    <font>
      <b/>
      <u val="singleAccounting"/>
      <sz val="10"/>
      <name val="Arial"/>
      <family val="2"/>
    </font>
    <font>
      <b/>
      <sz val="10"/>
      <color rgb="FF333333"/>
      <name val="Arial"/>
      <family val="2"/>
    </font>
    <font>
      <b/>
      <vertAlign val="superscript"/>
      <sz val="10"/>
      <name val="Arial"/>
      <family val="2"/>
    </font>
    <font>
      <sz val="10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8" fillId="0" borderId="0"/>
    <xf numFmtId="9" fontId="1" fillId="0" borderId="0" applyFont="0" applyFill="0" applyBorder="0" applyAlignment="0" applyProtection="0"/>
  </cellStyleXfs>
  <cellXfs count="864">
    <xf numFmtId="0" fontId="0" fillId="0" borderId="0" xfId="0"/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8" xfId="0" applyFont="1" applyBorder="1"/>
    <xf numFmtId="0" fontId="0" fillId="0" borderId="8" xfId="0" applyBorder="1"/>
    <xf numFmtId="0" fontId="0" fillId="0" borderId="0" xfId="0" applyBorder="1"/>
    <xf numFmtId="164" fontId="0" fillId="0" borderId="0" xfId="0" applyNumberFormat="1" applyBorder="1"/>
    <xf numFmtId="164" fontId="0" fillId="0" borderId="7" xfId="0" applyNumberFormat="1" applyBorder="1"/>
    <xf numFmtId="0" fontId="0" fillId="0" borderId="4" xfId="0" applyBorder="1"/>
    <xf numFmtId="164" fontId="0" fillId="0" borderId="5" xfId="0" applyNumberFormat="1" applyBorder="1"/>
    <xf numFmtId="164" fontId="0" fillId="0" borderId="6" xfId="0" applyNumberFormat="1" applyBorder="1"/>
    <xf numFmtId="164" fontId="0" fillId="0" borderId="0" xfId="0" applyNumberFormat="1"/>
    <xf numFmtId="0" fontId="0" fillId="0" borderId="0" xfId="0" quotePrefix="1"/>
    <xf numFmtId="16" fontId="3" fillId="0" borderId="8" xfId="0" quotePrefix="1" applyNumberFormat="1" applyFont="1" applyFill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8" xfId="0" quotePrefix="1" applyFont="1" applyBorder="1" applyAlignment="1">
      <alignment horizontal="center"/>
    </xf>
    <xf numFmtId="164" fontId="3" fillId="0" borderId="0" xfId="1" applyNumberFormat="1" applyFont="1" applyFill="1" applyBorder="1" applyAlignment="1">
      <alignment horizontal="center"/>
    </xf>
    <xf numFmtId="164" fontId="3" fillId="0" borderId="7" xfId="0" applyNumberFormat="1" applyFont="1" applyFill="1" applyBorder="1" applyAlignment="1">
      <alignment horizontal="center"/>
    </xf>
    <xf numFmtId="164" fontId="3" fillId="0" borderId="0" xfId="0" applyNumberFormat="1" applyFont="1" applyBorder="1"/>
    <xf numFmtId="164" fontId="3" fillId="0" borderId="7" xfId="0" applyNumberFormat="1" applyFont="1" applyBorder="1"/>
    <xf numFmtId="10" fontId="3" fillId="0" borderId="0" xfId="5" applyNumberFormat="1" applyFont="1" applyFill="1" applyBorder="1" applyAlignment="1">
      <alignment horizontal="center"/>
    </xf>
    <xf numFmtId="0" fontId="3" fillId="2" borderId="5" xfId="0" quotePrefix="1" applyFont="1" applyFill="1" applyBorder="1" applyAlignment="1">
      <alignment horizontal="center"/>
    </xf>
    <xf numFmtId="10" fontId="3" fillId="0" borderId="0" xfId="5" applyNumberFormat="1" applyFont="1" applyBorder="1"/>
    <xf numFmtId="10" fontId="3" fillId="0" borderId="7" xfId="5" applyNumberFormat="1" applyFont="1" applyFill="1" applyBorder="1" applyAlignment="1">
      <alignment horizontal="center"/>
    </xf>
    <xf numFmtId="0" fontId="3" fillId="0" borderId="0" xfId="0" applyFont="1" applyBorder="1"/>
    <xf numFmtId="0" fontId="0" fillId="0" borderId="5" xfId="0" applyBorder="1"/>
    <xf numFmtId="0" fontId="3" fillId="0" borderId="8" xfId="0" applyFont="1" applyBorder="1" applyAlignment="1">
      <alignment horizontal="right"/>
    </xf>
    <xf numFmtId="43" fontId="3" fillId="0" borderId="0" xfId="1" applyFont="1" applyBorder="1" applyAlignment="1">
      <alignment horizontal="center"/>
    </xf>
    <xf numFmtId="43" fontId="0" fillId="0" borderId="0" xfId="0" applyNumberFormat="1"/>
    <xf numFmtId="164" fontId="3" fillId="0" borderId="0" xfId="1" applyNumberFormat="1" applyFont="1" applyBorder="1" applyAlignment="1"/>
    <xf numFmtId="43" fontId="3" fillId="0" borderId="0" xfId="1" applyNumberFormat="1" applyFont="1" applyFill="1" applyBorder="1" applyAlignment="1">
      <alignment horizontal="center"/>
    </xf>
    <xf numFmtId="43" fontId="3" fillId="0" borderId="7" xfId="1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0" fontId="3" fillId="0" borderId="8" xfId="0" applyFont="1" applyBorder="1" applyAlignment="1">
      <alignment horizontal="left"/>
    </xf>
    <xf numFmtId="16" fontId="3" fillId="0" borderId="8" xfId="0" quotePrefix="1" applyNumberFormat="1" applyFont="1" applyFill="1" applyBorder="1" applyAlignment="1">
      <alignment horizontal="left"/>
    </xf>
    <xf numFmtId="0" fontId="3" fillId="0" borderId="8" xfId="0" quotePrefix="1" applyFont="1" applyBorder="1" applyAlignment="1">
      <alignment horizontal="left"/>
    </xf>
    <xf numFmtId="0" fontId="0" fillId="0" borderId="4" xfId="0" applyBorder="1" applyAlignment="1">
      <alignment horizontal="left"/>
    </xf>
    <xf numFmtId="43" fontId="3" fillId="0" borderId="7" xfId="1" applyFont="1" applyBorder="1" applyAlignment="1">
      <alignment horizontal="center"/>
    </xf>
    <xf numFmtId="164" fontId="3" fillId="0" borderId="7" xfId="1" applyNumberFormat="1" applyFont="1" applyFill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0" fontId="3" fillId="0" borderId="8" xfId="0" quotePrefix="1" applyFont="1" applyBorder="1" applyAlignment="1">
      <alignment horizontal="right"/>
    </xf>
    <xf numFmtId="164" fontId="3" fillId="0" borderId="7" xfId="1" applyNumberFormat="1" applyFont="1" applyBorder="1" applyAlignment="1">
      <alignment horizontal="center"/>
    </xf>
    <xf numFmtId="43" fontId="3" fillId="0" borderId="7" xfId="1" applyNumberFormat="1" applyFont="1" applyBorder="1" applyAlignment="1">
      <alignment horizontal="center"/>
    </xf>
    <xf numFmtId="164" fontId="3" fillId="0" borderId="7" xfId="1" applyNumberFormat="1" applyFont="1" applyFill="1" applyBorder="1" applyAlignment="1"/>
    <xf numFmtId="164" fontId="3" fillId="0" borderId="7" xfId="0" applyNumberFormat="1" applyFont="1" applyBorder="1" applyAlignment="1">
      <alignment horizontal="right"/>
    </xf>
    <xf numFmtId="0" fontId="3" fillId="0" borderId="0" xfId="0" applyFont="1"/>
    <xf numFmtId="10" fontId="3" fillId="0" borderId="8" xfId="0" applyNumberFormat="1" applyFont="1" applyBorder="1" applyAlignment="1">
      <alignment horizontal="left"/>
    </xf>
    <xf numFmtId="164" fontId="3" fillId="0" borderId="0" xfId="0" applyNumberFormat="1" applyFont="1"/>
    <xf numFmtId="0" fontId="3" fillId="0" borderId="0" xfId="0" applyFont="1" applyAlignment="1">
      <alignment horizontal="right"/>
    </xf>
    <xf numFmtId="164" fontId="0" fillId="0" borderId="0" xfId="1" applyNumberFormat="1" applyFont="1"/>
    <xf numFmtId="164" fontId="0" fillId="0" borderId="0" xfId="0" applyNumberFormat="1" applyFill="1"/>
    <xf numFmtId="0" fontId="0" fillId="0" borderId="0" xfId="0" applyFill="1"/>
    <xf numFmtId="6" fontId="3" fillId="2" borderId="9" xfId="0" applyNumberFormat="1" applyFont="1" applyFill="1" applyBorder="1" applyAlignment="1">
      <alignment horizontal="center"/>
    </xf>
    <xf numFmtId="6" fontId="3" fillId="0" borderId="0" xfId="0" applyNumberFormat="1" applyFont="1" applyFill="1" applyBorder="1" applyAlignment="1">
      <alignment horizontal="center"/>
    </xf>
    <xf numFmtId="6" fontId="3" fillId="2" borderId="6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164" fontId="6" fillId="0" borderId="0" xfId="1" applyNumberFormat="1" applyFont="1" applyFill="1" applyBorder="1" applyAlignment="1">
      <alignment horizontal="left"/>
    </xf>
    <xf numFmtId="164" fontId="3" fillId="0" borderId="14" xfId="1" applyNumberFormat="1" applyFont="1" applyFill="1" applyBorder="1" applyAlignment="1">
      <alignment horizontal="center"/>
    </xf>
    <xf numFmtId="164" fontId="3" fillId="0" borderId="15" xfId="1" applyNumberFormat="1" applyFont="1" applyFill="1" applyBorder="1" applyAlignment="1">
      <alignment horizontal="center"/>
    </xf>
    <xf numFmtId="10" fontId="3" fillId="0" borderId="14" xfId="5" applyNumberFormat="1" applyFont="1" applyFill="1" applyBorder="1" applyAlignment="1">
      <alignment horizontal="center"/>
    </xf>
    <xf numFmtId="10" fontId="3" fillId="0" borderId="15" xfId="5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0" fontId="3" fillId="0" borderId="5" xfId="5" applyNumberFormat="1" applyFont="1" applyBorder="1"/>
    <xf numFmtId="10" fontId="3" fillId="0" borderId="6" xfId="5" applyNumberFormat="1" applyFont="1" applyBorder="1"/>
    <xf numFmtId="10" fontId="3" fillId="0" borderId="9" xfId="5" applyNumberFormat="1" applyFont="1" applyBorder="1"/>
    <xf numFmtId="10" fontId="3" fillId="0" borderId="4" xfId="5" applyNumberFormat="1" applyFont="1" applyBorder="1"/>
    <xf numFmtId="0" fontId="3" fillId="0" borderId="4" xfId="0" applyFont="1" applyBorder="1"/>
    <xf numFmtId="164" fontId="3" fillId="0" borderId="0" xfId="1" applyNumberFormat="1" applyFont="1" applyBorder="1"/>
    <xf numFmtId="164" fontId="3" fillId="0" borderId="10" xfId="1" applyNumberFormat="1" applyFont="1" applyBorder="1"/>
    <xf numFmtId="0" fontId="1" fillId="0" borderId="0" xfId="0" applyFont="1"/>
    <xf numFmtId="0" fontId="7" fillId="0" borderId="0" xfId="0" applyFont="1" applyProtection="1"/>
    <xf numFmtId="0" fontId="8" fillId="0" borderId="0" xfId="0" applyFont="1"/>
    <xf numFmtId="0" fontId="8" fillId="0" borderId="1" xfId="0" applyFont="1" applyBorder="1"/>
    <xf numFmtId="0" fontId="7" fillId="0" borderId="0" xfId="0" applyFont="1" applyAlignment="1" applyProtection="1">
      <alignment horizontal="centerContinuous"/>
    </xf>
    <xf numFmtId="0" fontId="8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16" fontId="3" fillId="0" borderId="0" xfId="0" quotePrefix="1" applyNumberFormat="1" applyFont="1" applyFill="1" applyBorder="1" applyAlignment="1">
      <alignment horizontal="left"/>
    </xf>
    <xf numFmtId="0" fontId="3" fillId="0" borderId="0" xfId="0" quotePrefix="1" applyFont="1" applyBorder="1" applyAlignment="1">
      <alignment horizontal="left"/>
    </xf>
    <xf numFmtId="10" fontId="3" fillId="0" borderId="0" xfId="0" applyNumberFormat="1" applyFont="1" applyBorder="1" applyAlignment="1">
      <alignment horizontal="left"/>
    </xf>
    <xf numFmtId="43" fontId="3" fillId="0" borderId="0" xfId="0" applyNumberFormat="1" applyFont="1" applyBorder="1" applyAlignment="1">
      <alignment horizontal="left"/>
    </xf>
    <xf numFmtId="6" fontId="3" fillId="2" borderId="8" xfId="0" applyNumberFormat="1" applyFont="1" applyFill="1" applyBorder="1" applyAlignment="1">
      <alignment horizontal="center"/>
    </xf>
    <xf numFmtId="6" fontId="3" fillId="2" borderId="11" xfId="0" applyNumberFormat="1" applyFont="1" applyFill="1" applyBorder="1" applyAlignment="1">
      <alignment horizontal="center"/>
    </xf>
    <xf numFmtId="6" fontId="3" fillId="2" borderId="11" xfId="0" applyNumberFormat="1" applyFont="1" applyFill="1" applyBorder="1" applyAlignment="1">
      <alignment horizontal="right"/>
    </xf>
    <xf numFmtId="6" fontId="3" fillId="2" borderId="7" xfId="0" applyNumberFormat="1" applyFont="1" applyFill="1" applyBorder="1" applyAlignment="1">
      <alignment horizontal="right"/>
    </xf>
    <xf numFmtId="164" fontId="3" fillId="0" borderId="6" xfId="0" applyNumberFormat="1" applyFont="1" applyBorder="1"/>
    <xf numFmtId="0" fontId="3" fillId="0" borderId="4" xfId="0" applyFont="1" applyBorder="1" applyAlignment="1">
      <alignment horizontal="right"/>
    </xf>
    <xf numFmtId="164" fontId="3" fillId="0" borderId="2" xfId="1" applyNumberFormat="1" applyFont="1" applyBorder="1"/>
    <xf numFmtId="164" fontId="3" fillId="0" borderId="3" xfId="1" applyNumberFormat="1" applyFont="1" applyBorder="1"/>
    <xf numFmtId="43" fontId="3" fillId="0" borderId="0" xfId="1" applyFont="1" applyFill="1" applyBorder="1" applyAlignment="1">
      <alignment horizontal="center"/>
    </xf>
    <xf numFmtId="0" fontId="3" fillId="2" borderId="4" xfId="0" quotePrefix="1" applyFont="1" applyFill="1" applyBorder="1" applyAlignment="1">
      <alignment horizontal="center"/>
    </xf>
    <xf numFmtId="43" fontId="3" fillId="0" borderId="7" xfId="1" applyFont="1" applyFill="1" applyBorder="1" applyAlignment="1">
      <alignment horizontal="center"/>
    </xf>
    <xf numFmtId="164" fontId="3" fillId="0" borderId="7" xfId="1" applyNumberFormat="1" applyFont="1" applyBorder="1"/>
    <xf numFmtId="0" fontId="0" fillId="0" borderId="7" xfId="0" applyBorder="1"/>
    <xf numFmtId="0" fontId="3" fillId="2" borderId="9" xfId="0" applyFont="1" applyFill="1" applyBorder="1" applyAlignment="1">
      <alignment horizontal="center"/>
    </xf>
    <xf numFmtId="6" fontId="3" fillId="2" borderId="10" xfId="0" applyNumberFormat="1" applyFont="1" applyFill="1" applyBorder="1" applyAlignment="1">
      <alignment horizontal="center"/>
    </xf>
    <xf numFmtId="6" fontId="3" fillId="2" borderId="10" xfId="0" applyNumberFormat="1" applyFont="1" applyFill="1" applyBorder="1" applyAlignment="1">
      <alignment horizontal="right"/>
    </xf>
    <xf numFmtId="6" fontId="3" fillId="2" borderId="3" xfId="0" applyNumberFormat="1" applyFont="1" applyFill="1" applyBorder="1" applyAlignment="1">
      <alignment horizontal="right"/>
    </xf>
    <xf numFmtId="0" fontId="0" fillId="0" borderId="6" xfId="0" applyBorder="1"/>
    <xf numFmtId="0" fontId="3" fillId="0" borderId="7" xfId="0" applyFont="1" applyBorder="1"/>
    <xf numFmtId="164" fontId="3" fillId="0" borderId="0" xfId="1" applyNumberFormat="1" applyFont="1" applyFill="1" applyBorder="1" applyAlignment="1"/>
    <xf numFmtId="43" fontId="3" fillId="0" borderId="0" xfId="1" applyNumberFormat="1" applyFont="1" applyFill="1" applyBorder="1" applyAlignment="1"/>
    <xf numFmtId="0" fontId="3" fillId="0" borderId="9" xfId="0" applyFont="1" applyBorder="1"/>
    <xf numFmtId="6" fontId="3" fillId="2" borderId="1" xfId="0" applyNumberFormat="1" applyFont="1" applyFill="1" applyBorder="1" applyAlignment="1">
      <alignment horizontal="center"/>
    </xf>
    <xf numFmtId="0" fontId="3" fillId="0" borderId="11" xfId="0" applyFont="1" applyBorder="1"/>
    <xf numFmtId="0" fontId="0" fillId="0" borderId="0" xfId="0" applyBorder="1" applyAlignment="1">
      <alignment horizontal="left"/>
    </xf>
    <xf numFmtId="0" fontId="3" fillId="0" borderId="8" xfId="0" applyFont="1" applyFill="1" applyBorder="1" applyAlignment="1">
      <alignment horizontal="left"/>
    </xf>
    <xf numFmtId="43" fontId="3" fillId="0" borderId="5" xfId="1" applyFont="1" applyBorder="1" applyAlignment="1">
      <alignment horizontal="center"/>
    </xf>
    <xf numFmtId="43" fontId="3" fillId="0" borderId="6" xfId="1" applyFont="1" applyBorder="1" applyAlignment="1">
      <alignment horizontal="center"/>
    </xf>
    <xf numFmtId="0" fontId="0" fillId="0" borderId="0" xfId="0" applyFill="1" applyBorder="1"/>
    <xf numFmtId="164" fontId="0" fillId="0" borderId="0" xfId="0" applyNumberFormat="1" applyFill="1" applyBorder="1"/>
    <xf numFmtId="6" fontId="3" fillId="2" borderId="1" xfId="0" applyNumberFormat="1" applyFont="1" applyFill="1" applyBorder="1" applyAlignment="1">
      <alignment horizontal="centerContinuous"/>
    </xf>
    <xf numFmtId="6" fontId="3" fillId="2" borderId="2" xfId="0" applyNumberFormat="1" applyFont="1" applyFill="1" applyBorder="1" applyAlignment="1">
      <alignment horizontal="centerContinuous"/>
    </xf>
    <xf numFmtId="6" fontId="3" fillId="2" borderId="3" xfId="0" applyNumberFormat="1" applyFont="1" applyFill="1" applyBorder="1" applyAlignment="1">
      <alignment horizontal="centerContinuous"/>
    </xf>
    <xf numFmtId="0" fontId="3" fillId="0" borderId="8" xfId="4" applyFont="1" applyFill="1" applyBorder="1" applyAlignment="1">
      <alignment horizontal="left"/>
    </xf>
    <xf numFmtId="0" fontId="3" fillId="0" borderId="0" xfId="0" quotePrefix="1" applyFont="1"/>
    <xf numFmtId="0" fontId="3" fillId="0" borderId="1" xfId="0" applyFont="1" applyBorder="1"/>
    <xf numFmtId="0" fontId="3" fillId="0" borderId="17" xfId="0" applyFont="1" applyBorder="1"/>
    <xf numFmtId="164" fontId="10" fillId="0" borderId="0" xfId="1" applyNumberFormat="1" applyFont="1" applyFill="1" applyBorder="1" applyAlignment="1">
      <alignment horizontal="center"/>
    </xf>
    <xf numFmtId="166" fontId="10" fillId="0" borderId="0" xfId="1" applyNumberFormat="1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164" fontId="3" fillId="0" borderId="0" xfId="1" applyNumberFormat="1" applyFont="1" applyFill="1" applyBorder="1" applyAlignment="1">
      <alignment horizontal="right"/>
    </xf>
    <xf numFmtId="0" fontId="0" fillId="0" borderId="8" xfId="0" applyFill="1" applyBorder="1"/>
    <xf numFmtId="0" fontId="3" fillId="2" borderId="1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164" fontId="0" fillId="0" borderId="8" xfId="0" applyNumberFormat="1" applyBorder="1"/>
    <xf numFmtId="0" fontId="3" fillId="2" borderId="6" xfId="0" quotePrefix="1" applyFont="1" applyFill="1" applyBorder="1" applyAlignment="1">
      <alignment horizontal="center"/>
    </xf>
    <xf numFmtId="164" fontId="3" fillId="0" borderId="8" xfId="1" applyNumberFormat="1" applyFont="1" applyFill="1" applyBorder="1" applyAlignment="1">
      <alignment horizontal="center"/>
    </xf>
    <xf numFmtId="164" fontId="0" fillId="0" borderId="4" xfId="0" applyNumberFormat="1" applyBorder="1"/>
    <xf numFmtId="43" fontId="3" fillId="0" borderId="8" xfId="1" applyNumberFormat="1" applyFont="1" applyFill="1" applyBorder="1" applyAlignment="1">
      <alignment horizontal="center"/>
    </xf>
    <xf numFmtId="0" fontId="3" fillId="0" borderId="8" xfId="0" applyFont="1" applyBorder="1" applyAlignment="1">
      <alignment horizontal="left" indent="2"/>
    </xf>
    <xf numFmtId="164" fontId="10" fillId="0" borderId="8" xfId="1" applyNumberFormat="1" applyFont="1" applyFill="1" applyBorder="1" applyAlignment="1">
      <alignment horizontal="center"/>
    </xf>
    <xf numFmtId="43" fontId="3" fillId="0" borderId="8" xfId="1" applyFont="1" applyBorder="1" applyAlignment="1">
      <alignment horizontal="center"/>
    </xf>
    <xf numFmtId="43" fontId="3" fillId="0" borderId="8" xfId="1" applyNumberFormat="1" applyFont="1" applyBorder="1" applyAlignment="1">
      <alignment horizontal="center"/>
    </xf>
    <xf numFmtId="43" fontId="3" fillId="0" borderId="4" xfId="1" applyFont="1" applyBorder="1" applyAlignment="1">
      <alignment horizontal="center"/>
    </xf>
    <xf numFmtId="0" fontId="3" fillId="0" borderId="11" xfId="0" applyFont="1" applyBorder="1" applyAlignment="1">
      <alignment horizontal="left"/>
    </xf>
    <xf numFmtId="0" fontId="0" fillId="0" borderId="11" xfId="0" applyBorder="1"/>
    <xf numFmtId="43" fontId="3" fillId="0" borderId="8" xfId="1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164" fontId="3" fillId="0" borderId="1" xfId="0" applyNumberFormat="1" applyFont="1" applyBorder="1"/>
    <xf numFmtId="0" fontId="3" fillId="0" borderId="8" xfId="0" applyFont="1" applyFill="1" applyBorder="1" applyAlignment="1">
      <alignment horizontal="right"/>
    </xf>
    <xf numFmtId="0" fontId="3" fillId="0" borderId="11" xfId="0" applyFont="1" applyBorder="1" applyAlignment="1">
      <alignment horizontal="center"/>
    </xf>
    <xf numFmtId="16" fontId="3" fillId="0" borderId="11" xfId="0" quotePrefix="1" applyNumberFormat="1" applyFont="1" applyFill="1" applyBorder="1" applyAlignment="1">
      <alignment horizontal="center"/>
    </xf>
    <xf numFmtId="0" fontId="3" fillId="0" borderId="11" xfId="0" quotePrefix="1" applyFont="1" applyBorder="1" applyAlignment="1">
      <alignment horizontal="center"/>
    </xf>
    <xf numFmtId="0" fontId="3" fillId="0" borderId="11" xfId="0" applyFont="1" applyBorder="1" applyAlignment="1">
      <alignment horizontal="right"/>
    </xf>
    <xf numFmtId="0" fontId="0" fillId="0" borderId="9" xfId="0" applyBorder="1"/>
    <xf numFmtId="43" fontId="3" fillId="0" borderId="0" xfId="0" applyNumberFormat="1" applyFont="1"/>
    <xf numFmtId="164" fontId="3" fillId="0" borderId="2" xfId="0" applyNumberFormat="1" applyFont="1" applyBorder="1"/>
    <xf numFmtId="164" fontId="3" fillId="0" borderId="18" xfId="0" applyNumberFormat="1" applyFont="1" applyBorder="1"/>
    <xf numFmtId="0" fontId="3" fillId="0" borderId="7" xfId="0" applyFont="1" applyBorder="1" applyAlignment="1">
      <alignment horizontal="left"/>
    </xf>
    <xf numFmtId="16" fontId="3" fillId="0" borderId="7" xfId="0" quotePrefix="1" applyNumberFormat="1" applyFont="1" applyFill="1" applyBorder="1" applyAlignment="1">
      <alignment horizontal="left"/>
    </xf>
    <xf numFmtId="43" fontId="3" fillId="0" borderId="0" xfId="1" applyNumberFormat="1" applyFont="1" applyBorder="1" applyAlignment="1">
      <alignment horizontal="center"/>
    </xf>
    <xf numFmtId="6" fontId="3" fillId="2" borderId="10" xfId="0" applyNumberFormat="1" applyFont="1" applyFill="1" applyBorder="1" applyAlignment="1"/>
    <xf numFmtId="164" fontId="3" fillId="0" borderId="11" xfId="1" applyNumberFormat="1" applyFont="1" applyFill="1" applyBorder="1" applyAlignment="1">
      <alignment horizontal="center"/>
    </xf>
    <xf numFmtId="43" fontId="3" fillId="0" borderId="11" xfId="1" applyNumberFormat="1" applyFont="1" applyFill="1" applyBorder="1" applyAlignment="1">
      <alignment horizontal="center"/>
    </xf>
    <xf numFmtId="164" fontId="0" fillId="0" borderId="9" xfId="0" applyNumberFormat="1" applyBorder="1"/>
    <xf numFmtId="164" fontId="3" fillId="0" borderId="8" xfId="1" applyNumberFormat="1" applyFont="1" applyBorder="1" applyAlignment="1"/>
    <xf numFmtId="0" fontId="0" fillId="0" borderId="0" xfId="0" applyAlignment="1">
      <alignment horizontal="left" indent="1"/>
    </xf>
    <xf numFmtId="164" fontId="3" fillId="0" borderId="16" xfId="1" applyNumberFormat="1" applyFont="1" applyBorder="1"/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/>
    </xf>
    <xf numFmtId="164" fontId="0" fillId="0" borderId="0" xfId="1" applyNumberFormat="1" applyFont="1" applyFill="1" applyBorder="1"/>
    <xf numFmtId="164" fontId="3" fillId="0" borderId="0" xfId="1" applyNumberFormat="1" applyFont="1" applyFill="1" applyBorder="1"/>
    <xf numFmtId="164" fontId="3" fillId="0" borderId="0" xfId="1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left"/>
    </xf>
    <xf numFmtId="0" fontId="3" fillId="0" borderId="4" xfId="0" applyFont="1" applyBorder="1" applyAlignment="1">
      <alignment horizontal="left"/>
    </xf>
    <xf numFmtId="43" fontId="3" fillId="0" borderId="8" xfId="0" applyNumberFormat="1" applyFont="1" applyBorder="1" applyAlignment="1">
      <alignment horizontal="left"/>
    </xf>
    <xf numFmtId="164" fontId="3" fillId="0" borderId="11" xfId="0" applyNumberFormat="1" applyFont="1" applyFill="1" applyBorder="1" applyAlignment="1">
      <alignment horizontal="center"/>
    </xf>
    <xf numFmtId="164" fontId="3" fillId="0" borderId="11" xfId="0" applyNumberFormat="1" applyFont="1" applyBorder="1"/>
    <xf numFmtId="0" fontId="0" fillId="3" borderId="0" xfId="0" applyFill="1"/>
    <xf numFmtId="164" fontId="3" fillId="0" borderId="0" xfId="0" applyNumberFormat="1" applyFont="1" applyFill="1" applyBorder="1"/>
    <xf numFmtId="6" fontId="3" fillId="0" borderId="0" xfId="0" applyNumberFormat="1" applyFont="1" applyFill="1" applyBorder="1" applyAlignment="1"/>
    <xf numFmtId="164" fontId="3" fillId="0" borderId="3" xfId="0" applyNumberFormat="1" applyFont="1" applyBorder="1"/>
    <xf numFmtId="6" fontId="3" fillId="2" borderId="7" xfId="0" applyNumberFormat="1" applyFont="1" applyFill="1" applyBorder="1" applyAlignment="1"/>
    <xf numFmtId="168" fontId="3" fillId="0" borderId="14" xfId="5" applyNumberFormat="1" applyFont="1" applyFill="1" applyBorder="1" applyAlignment="1">
      <alignment horizontal="center"/>
    </xf>
    <xf numFmtId="168" fontId="3" fillId="0" borderId="14" xfId="1" applyNumberFormat="1" applyFont="1" applyFill="1" applyBorder="1" applyAlignment="1">
      <alignment horizontal="center"/>
    </xf>
    <xf numFmtId="164" fontId="0" fillId="0" borderId="11" xfId="0" applyNumberFormat="1" applyBorder="1"/>
    <xf numFmtId="164" fontId="3" fillId="6" borderId="14" xfId="1" applyNumberFormat="1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169" fontId="0" fillId="0" borderId="0" xfId="5" applyNumberFormat="1" applyFont="1"/>
    <xf numFmtId="43" fontId="3" fillId="0" borderId="0" xfId="1" applyFont="1"/>
    <xf numFmtId="0" fontId="3" fillId="0" borderId="8" xfId="0" applyFont="1" applyFill="1" applyBorder="1" applyAlignment="1">
      <alignment horizontal="left" indent="1"/>
    </xf>
    <xf numFmtId="164" fontId="3" fillId="0" borderId="11" xfId="1" applyNumberFormat="1" applyFont="1" applyBorder="1"/>
    <xf numFmtId="0" fontId="3" fillId="2" borderId="11" xfId="0" applyFont="1" applyFill="1" applyBorder="1" applyAlignment="1">
      <alignment horizontal="center"/>
    </xf>
    <xf numFmtId="43" fontId="3" fillId="0" borderId="8" xfId="1" applyNumberFormat="1" applyFont="1" applyBorder="1" applyAlignment="1">
      <alignment horizontal="right"/>
    </xf>
    <xf numFmtId="43" fontId="3" fillId="0" borderId="0" xfId="1" applyNumberFormat="1" applyFont="1" applyBorder="1" applyAlignment="1">
      <alignment horizontal="right"/>
    </xf>
    <xf numFmtId="0" fontId="8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0" borderId="0" xfId="0" applyFont="1" applyBorder="1" applyAlignment="1">
      <alignment horizontal="right"/>
    </xf>
    <xf numFmtId="6" fontId="3" fillId="2" borderId="1" xfId="0" applyNumberFormat="1" applyFont="1" applyFill="1" applyBorder="1" applyAlignment="1">
      <alignment horizontal="center"/>
    </xf>
    <xf numFmtId="6" fontId="3" fillId="2" borderId="8" xfId="0" applyNumberFormat="1" applyFont="1" applyFill="1" applyBorder="1" applyAlignment="1">
      <alignment horizontal="center"/>
    </xf>
    <xf numFmtId="6" fontId="3" fillId="2" borderId="1" xfId="0" applyNumberFormat="1" applyFont="1" applyFill="1" applyBorder="1" applyAlignment="1">
      <alignment horizontal="center"/>
    </xf>
    <xf numFmtId="43" fontId="3" fillId="0" borderId="0" xfId="1" applyFont="1" applyFill="1" applyBorder="1" applyAlignment="1">
      <alignment horizontal="right"/>
    </xf>
    <xf numFmtId="6" fontId="3" fillId="2" borderId="21" xfId="0" applyNumberFormat="1" applyFont="1" applyFill="1" applyBorder="1" applyAlignment="1">
      <alignment horizontal="center"/>
    </xf>
    <xf numFmtId="164" fontId="3" fillId="0" borderId="5" xfId="0" applyNumberFormat="1" applyFont="1" applyFill="1" applyBorder="1"/>
    <xf numFmtId="10" fontId="3" fillId="0" borderId="0" xfId="5" applyNumberFormat="1" applyFont="1" applyFill="1" applyBorder="1" applyAlignment="1">
      <alignment horizontal="right"/>
    </xf>
    <xf numFmtId="10" fontId="3" fillId="0" borderId="7" xfId="5" applyNumberFormat="1" applyFont="1" applyFill="1" applyBorder="1" applyAlignment="1">
      <alignment horizontal="right"/>
    </xf>
    <xf numFmtId="164" fontId="3" fillId="0" borderId="8" xfId="1" applyNumberFormat="1" applyFont="1" applyFill="1" applyBorder="1" applyAlignment="1">
      <alignment horizontal="right"/>
    </xf>
    <xf numFmtId="164" fontId="3" fillId="0" borderId="7" xfId="1" applyNumberFormat="1" applyFont="1" applyFill="1" applyBorder="1" applyAlignment="1">
      <alignment horizontal="right"/>
    </xf>
    <xf numFmtId="43" fontId="3" fillId="0" borderId="7" xfId="1" applyFont="1" applyFill="1" applyBorder="1" applyAlignment="1">
      <alignment horizontal="right"/>
    </xf>
    <xf numFmtId="10" fontId="3" fillId="0" borderId="11" xfId="5" applyNumberFormat="1" applyFont="1" applyFill="1" applyBorder="1" applyAlignment="1">
      <alignment horizontal="right"/>
    </xf>
    <xf numFmtId="168" fontId="3" fillId="0" borderId="7" xfId="5" applyNumberFormat="1" applyFont="1" applyFill="1" applyBorder="1" applyAlignment="1">
      <alignment horizontal="right"/>
    </xf>
    <xf numFmtId="164" fontId="3" fillId="0" borderId="11" xfId="1" applyNumberFormat="1" applyFont="1" applyFill="1" applyBorder="1" applyAlignment="1">
      <alignment horizontal="right"/>
    </xf>
    <xf numFmtId="43" fontId="3" fillId="0" borderId="11" xfId="1" applyFont="1" applyFill="1" applyBorder="1" applyAlignment="1">
      <alignment horizontal="right"/>
    </xf>
    <xf numFmtId="43" fontId="3" fillId="0" borderId="7" xfId="1" applyNumberFormat="1" applyFont="1" applyFill="1" applyBorder="1" applyAlignment="1">
      <alignment horizontal="right"/>
    </xf>
    <xf numFmtId="43" fontId="3" fillId="0" borderId="0" xfId="1" applyNumberFormat="1" applyFont="1" applyFill="1" applyBorder="1" applyAlignment="1">
      <alignment horizontal="right"/>
    </xf>
    <xf numFmtId="43" fontId="3" fillId="0" borderId="11" xfId="1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164" fontId="3" fillId="0" borderId="8" xfId="0" applyNumberFormat="1" applyFont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164" fontId="3" fillId="0" borderId="29" xfId="1" applyNumberFormat="1" applyFont="1" applyFill="1" applyBorder="1" applyAlignment="1">
      <alignment horizontal="center"/>
    </xf>
    <xf numFmtId="166" fontId="3" fillId="0" borderId="0" xfId="1" applyNumberFormat="1" applyFont="1" applyFill="1" applyBorder="1" applyAlignment="1">
      <alignment horizontal="center"/>
    </xf>
    <xf numFmtId="10" fontId="3" fillId="0" borderId="29" xfId="5" applyNumberFormat="1" applyFont="1" applyFill="1" applyBorder="1" applyAlignment="1">
      <alignment horizontal="center"/>
    </xf>
    <xf numFmtId="10" fontId="0" fillId="0" borderId="0" xfId="5" applyNumberFormat="1" applyFont="1" applyBorder="1"/>
    <xf numFmtId="0" fontId="2" fillId="4" borderId="15" xfId="0" applyFont="1" applyFill="1" applyBorder="1" applyAlignment="1"/>
    <xf numFmtId="0" fontId="0" fillId="4" borderId="12" xfId="0" applyFill="1" applyBorder="1"/>
    <xf numFmtId="0" fontId="0" fillId="4" borderId="15" xfId="0" applyFill="1" applyBorder="1"/>
    <xf numFmtId="167" fontId="0" fillId="0" borderId="14" xfId="0" applyNumberFormat="1" applyBorder="1"/>
    <xf numFmtId="164" fontId="3" fillId="0" borderId="27" xfId="1" applyNumberFormat="1" applyFont="1" applyFill="1" applyBorder="1" applyAlignment="1">
      <alignment horizontal="center"/>
    </xf>
    <xf numFmtId="10" fontId="3" fillId="0" borderId="27" xfId="5" applyNumberFormat="1" applyFont="1" applyFill="1" applyBorder="1" applyAlignment="1">
      <alignment horizontal="center"/>
    </xf>
    <xf numFmtId="167" fontId="0" fillId="0" borderId="27" xfId="0" applyNumberFormat="1" applyBorder="1"/>
    <xf numFmtId="167" fontId="0" fillId="0" borderId="30" xfId="0" applyNumberFormat="1" applyBorder="1"/>
    <xf numFmtId="167" fontId="0" fillId="0" borderId="13" xfId="0" applyNumberFormat="1" applyBorder="1"/>
    <xf numFmtId="167" fontId="0" fillId="0" borderId="15" xfId="0" applyNumberFormat="1" applyBorder="1"/>
    <xf numFmtId="43" fontId="0" fillId="0" borderId="8" xfId="0" applyNumberFormat="1" applyBorder="1"/>
    <xf numFmtId="164" fontId="3" fillId="0" borderId="5" xfId="1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3" fontId="0" fillId="0" borderId="0" xfId="0" applyNumberFormat="1"/>
    <xf numFmtId="0" fontId="3" fillId="0" borderId="9" xfId="0" applyFont="1" applyBorder="1" applyAlignment="1">
      <alignment horizontal="center"/>
    </xf>
    <xf numFmtId="164" fontId="3" fillId="0" borderId="4" xfId="1" applyNumberFormat="1" applyFont="1" applyFill="1" applyBorder="1" applyAlignment="1">
      <alignment horizontal="center"/>
    </xf>
    <xf numFmtId="0" fontId="3" fillId="0" borderId="21" xfId="0" applyFont="1" applyBorder="1" applyAlignment="1">
      <alignment horizontal="center"/>
    </xf>
    <xf numFmtId="164" fontId="0" fillId="0" borderId="0" xfId="0" applyNumberFormat="1" applyFill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5" fontId="0" fillId="0" borderId="0" xfId="5" applyNumberFormat="1" applyFont="1" applyBorder="1"/>
    <xf numFmtId="164" fontId="3" fillId="0" borderId="6" xfId="1" applyNumberFormat="1" applyFont="1" applyFill="1" applyBorder="1" applyAlignment="1">
      <alignment horizontal="center"/>
    </xf>
    <xf numFmtId="3" fontId="3" fillId="0" borderId="8" xfId="1" applyNumberFormat="1" applyFont="1" applyFill="1" applyBorder="1" applyAlignment="1">
      <alignment horizontal="right"/>
    </xf>
    <xf numFmtId="3" fontId="3" fillId="0" borderId="0" xfId="1" applyNumberFormat="1" applyFont="1" applyFill="1" applyBorder="1" applyAlignment="1">
      <alignment horizontal="right"/>
    </xf>
    <xf numFmtId="3" fontId="3" fillId="0" borderId="7" xfId="1" applyNumberFormat="1" applyFont="1" applyFill="1" applyBorder="1" applyAlignment="1">
      <alignment horizontal="right"/>
    </xf>
    <xf numFmtId="3" fontId="3" fillId="0" borderId="11" xfId="0" applyNumberFormat="1" applyFont="1" applyFill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3" fontId="3" fillId="0" borderId="18" xfId="0" applyNumberFormat="1" applyFont="1" applyBorder="1" applyAlignment="1">
      <alignment horizontal="right"/>
    </xf>
    <xf numFmtId="3" fontId="3" fillId="0" borderId="19" xfId="0" applyNumberFormat="1" applyFont="1" applyBorder="1" applyAlignment="1">
      <alignment horizontal="right"/>
    </xf>
    <xf numFmtId="3" fontId="3" fillId="0" borderId="21" xfId="0" applyNumberFormat="1" applyFont="1" applyBorder="1" applyAlignment="1">
      <alignment horizontal="right"/>
    </xf>
    <xf numFmtId="3" fontId="3" fillId="0" borderId="7" xfId="0" applyNumberFormat="1" applyFont="1" applyFill="1" applyBorder="1" applyAlignment="1">
      <alignment horizontal="right"/>
    </xf>
    <xf numFmtId="0" fontId="3" fillId="0" borderId="11" xfId="0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0" fontId="3" fillId="0" borderId="7" xfId="0" applyFont="1" applyFill="1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3" fontId="0" fillId="0" borderId="0" xfId="0" applyNumberFormat="1" applyFill="1"/>
    <xf numFmtId="3" fontId="3" fillId="0" borderId="6" xfId="1" applyNumberFormat="1" applyFont="1" applyFill="1" applyBorder="1" applyAlignment="1">
      <alignment horizontal="right"/>
    </xf>
    <xf numFmtId="3" fontId="3" fillId="0" borderId="17" xfId="0" applyNumberFormat="1" applyFont="1" applyFill="1" applyBorder="1" applyAlignment="1">
      <alignment horizontal="right"/>
    </xf>
    <xf numFmtId="3" fontId="3" fillId="0" borderId="18" xfId="0" applyNumberFormat="1" applyFont="1" applyFill="1" applyBorder="1" applyAlignment="1">
      <alignment horizontal="right"/>
    </xf>
    <xf numFmtId="3" fontId="3" fillId="0" borderId="19" xfId="0" applyNumberFormat="1" applyFont="1" applyFill="1" applyBorder="1" applyAlignment="1">
      <alignment horizontal="right"/>
    </xf>
    <xf numFmtId="3" fontId="3" fillId="0" borderId="21" xfId="0" applyNumberFormat="1" applyFont="1" applyFill="1" applyBorder="1" applyAlignment="1">
      <alignment horizontal="right"/>
    </xf>
    <xf numFmtId="0" fontId="3" fillId="2" borderId="10" xfId="0" applyFont="1" applyFill="1" applyBorder="1" applyAlignment="1"/>
    <xf numFmtId="0" fontId="3" fillId="2" borderId="0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164" fontId="10" fillId="0" borderId="4" xfId="1" applyNumberFormat="1" applyFont="1" applyFill="1" applyBorder="1" applyAlignment="1">
      <alignment horizontal="center"/>
    </xf>
    <xf numFmtId="164" fontId="10" fillId="0" borderId="5" xfId="1" applyNumberFormat="1" applyFont="1" applyFill="1" applyBorder="1" applyAlignment="1">
      <alignment horizontal="center"/>
    </xf>
    <xf numFmtId="164" fontId="3" fillId="0" borderId="6" xfId="0" applyNumberFormat="1" applyFont="1" applyFill="1" applyBorder="1" applyAlignment="1">
      <alignment horizontal="center"/>
    </xf>
    <xf numFmtId="3" fontId="3" fillId="0" borderId="4" xfId="1" applyNumberFormat="1" applyFont="1" applyFill="1" applyBorder="1" applyAlignment="1">
      <alignment horizontal="right"/>
    </xf>
    <xf numFmtId="3" fontId="3" fillId="0" borderId="5" xfId="1" applyNumberFormat="1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0" fontId="3" fillId="0" borderId="17" xfId="0" applyFont="1" applyBorder="1" applyAlignment="1">
      <alignment horizontal="center"/>
    </xf>
    <xf numFmtId="3" fontId="3" fillId="0" borderId="7" xfId="0" applyNumberFormat="1" applyFont="1" applyBorder="1" applyAlignment="1">
      <alignment horizontal="right"/>
    </xf>
    <xf numFmtId="3" fontId="3" fillId="0" borderId="6" xfId="0" applyNumberFormat="1" applyFont="1" applyBorder="1" applyAlignment="1">
      <alignment horizontal="right"/>
    </xf>
    <xf numFmtId="164" fontId="0" fillId="0" borderId="9" xfId="0" applyNumberFormat="1" applyFill="1" applyBorder="1"/>
    <xf numFmtId="164" fontId="3" fillId="0" borderId="17" xfId="0" applyNumberFormat="1" applyFont="1" applyBorder="1"/>
    <xf numFmtId="164" fontId="3" fillId="0" borderId="21" xfId="0" applyNumberFormat="1" applyFont="1" applyBorder="1"/>
    <xf numFmtId="0" fontId="3" fillId="0" borderId="4" xfId="0" applyFont="1" applyFill="1" applyBorder="1" applyAlignment="1">
      <alignment horizontal="center"/>
    </xf>
    <xf numFmtId="0" fontId="3" fillId="2" borderId="7" xfId="0" applyFont="1" applyFill="1" applyBorder="1" applyAlignment="1"/>
    <xf numFmtId="0" fontId="3" fillId="0" borderId="11" xfId="0" quotePrefix="1" applyFont="1" applyFill="1" applyBorder="1" applyAlignment="1">
      <alignment horizontal="center"/>
    </xf>
    <xf numFmtId="3" fontId="3" fillId="0" borderId="5" xfId="0" applyNumberFormat="1" applyFont="1" applyFill="1" applyBorder="1" applyAlignment="1">
      <alignment horizontal="right"/>
    </xf>
    <xf numFmtId="3" fontId="3" fillId="0" borderId="6" xfId="0" applyNumberFormat="1" applyFont="1" applyFill="1" applyBorder="1" applyAlignment="1">
      <alignment horizontal="right"/>
    </xf>
    <xf numFmtId="3" fontId="3" fillId="0" borderId="11" xfId="1" applyNumberFormat="1" applyFont="1" applyFill="1" applyBorder="1" applyAlignment="1">
      <alignment horizontal="right"/>
    </xf>
    <xf numFmtId="164" fontId="3" fillId="0" borderId="19" xfId="0" applyNumberFormat="1" applyFont="1" applyFill="1" applyBorder="1"/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0" borderId="10" xfId="0" applyFont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4" fontId="3" fillId="0" borderId="1" xfId="1" applyNumberFormat="1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164" fontId="3" fillId="0" borderId="3" xfId="1" applyNumberFormat="1" applyFont="1" applyFill="1" applyBorder="1" applyAlignment="1">
      <alignment horizontal="center"/>
    </xf>
    <xf numFmtId="3" fontId="3" fillId="0" borderId="9" xfId="0" applyNumberFormat="1" applyFont="1" applyFill="1" applyBorder="1" applyAlignment="1">
      <alignment horizontal="right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164" fontId="3" fillId="0" borderId="17" xfId="1" applyNumberFormat="1" applyFont="1" applyFill="1" applyBorder="1" applyAlignment="1">
      <alignment horizontal="center"/>
    </xf>
    <xf numFmtId="164" fontId="3" fillId="0" borderId="18" xfId="1" applyNumberFormat="1" applyFont="1" applyFill="1" applyBorder="1" applyAlignment="1">
      <alignment horizontal="center"/>
    </xf>
    <xf numFmtId="164" fontId="3" fillId="0" borderId="19" xfId="1" applyNumberFormat="1" applyFont="1" applyFill="1" applyBorder="1" applyAlignment="1">
      <alignment horizontal="center"/>
    </xf>
    <xf numFmtId="0" fontId="0" fillId="0" borderId="2" xfId="0" applyBorder="1"/>
    <xf numFmtId="0" fontId="3" fillId="0" borderId="9" xfId="0" applyFont="1" applyFill="1" applyBorder="1" applyAlignment="1">
      <alignment horizontal="center"/>
    </xf>
    <xf numFmtId="0" fontId="0" fillId="0" borderId="1" xfId="0" applyBorder="1"/>
    <xf numFmtId="0" fontId="3" fillId="0" borderId="4" xfId="0" applyFont="1" applyBorder="1" applyAlignment="1">
      <alignment horizontal="center"/>
    </xf>
    <xf numFmtId="3" fontId="3" fillId="0" borderId="2" xfId="0" applyNumberFormat="1" applyFont="1" applyBorder="1"/>
    <xf numFmtId="3" fontId="3" fillId="0" borderId="0" xfId="0" applyNumberFormat="1" applyFont="1" applyBorder="1"/>
    <xf numFmtId="3" fontId="3" fillId="0" borderId="5" xfId="0" applyNumberFormat="1" applyFont="1" applyBorder="1"/>
    <xf numFmtId="3" fontId="3" fillId="0" borderId="3" xfId="0" applyNumberFormat="1" applyFont="1" applyBorder="1"/>
    <xf numFmtId="3" fontId="3" fillId="0" borderId="7" xfId="0" applyNumberFormat="1" applyFont="1" applyBorder="1"/>
    <xf numFmtId="3" fontId="3" fillId="0" borderId="6" xfId="0" applyNumberFormat="1" applyFont="1" applyBorder="1"/>
    <xf numFmtId="3" fontId="3" fillId="0" borderId="10" xfId="0" applyNumberFormat="1" applyFont="1" applyBorder="1"/>
    <xf numFmtId="3" fontId="3" fillId="0" borderId="11" xfId="0" applyNumberFormat="1" applyFont="1" applyBorder="1"/>
    <xf numFmtId="3" fontId="3" fillId="0" borderId="9" xfId="0" applyNumberFormat="1" applyFont="1" applyBorder="1"/>
    <xf numFmtId="3" fontId="3" fillId="0" borderId="9" xfId="0" applyNumberFormat="1" applyFont="1" applyBorder="1" applyAlignment="1">
      <alignment horizontal="right"/>
    </xf>
    <xf numFmtId="3" fontId="3" fillId="0" borderId="1" xfId="0" applyNumberFormat="1" applyFont="1" applyBorder="1"/>
    <xf numFmtId="3" fontId="3" fillId="0" borderId="8" xfId="0" applyNumberFormat="1" applyFont="1" applyBorder="1"/>
    <xf numFmtId="3" fontId="3" fillId="0" borderId="4" xfId="0" applyNumberFormat="1" applyFont="1" applyBorder="1"/>
    <xf numFmtId="164" fontId="0" fillId="0" borderId="3" xfId="0" applyNumberFormat="1" applyBorder="1"/>
    <xf numFmtId="0" fontId="3" fillId="4" borderId="9" xfId="0" applyFont="1" applyFill="1" applyBorder="1" applyAlignment="1">
      <alignment horizontal="center"/>
    </xf>
    <xf numFmtId="0" fontId="0" fillId="0" borderId="9" xfId="0" applyBorder="1" applyAlignment="1">
      <alignment horizontal="right"/>
    </xf>
    <xf numFmtId="0" fontId="13" fillId="0" borderId="0" xfId="0" applyFont="1" applyFill="1" applyBorder="1" applyAlignment="1">
      <alignment horizontal="right"/>
    </xf>
    <xf numFmtId="0" fontId="3" fillId="0" borderId="7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8" xfId="0" quotePrefix="1" applyFont="1" applyFill="1" applyBorder="1" applyAlignment="1">
      <alignment horizontal="center"/>
    </xf>
    <xf numFmtId="0" fontId="3" fillId="2" borderId="0" xfId="0" quotePrefix="1" applyFont="1" applyFill="1" applyBorder="1" applyAlignment="1">
      <alignment horizontal="center"/>
    </xf>
    <xf numFmtId="0" fontId="3" fillId="2" borderId="7" xfId="0" quotePrefix="1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9" xfId="0" quotePrefix="1" applyFont="1" applyFill="1" applyBorder="1" applyAlignment="1">
      <alignment horizontal="center"/>
    </xf>
    <xf numFmtId="0" fontId="3" fillId="0" borderId="8" xfId="0" quotePrefix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164" fontId="13" fillId="0" borderId="0" xfId="0" applyNumberFormat="1" applyFont="1"/>
    <xf numFmtId="164" fontId="3" fillId="0" borderId="3" xfId="1" applyNumberFormat="1" applyFont="1" applyFill="1" applyBorder="1"/>
    <xf numFmtId="2" fontId="0" fillId="0" borderId="0" xfId="0" applyNumberFormat="1"/>
    <xf numFmtId="164" fontId="1" fillId="0" borderId="0" xfId="1" applyNumberFormat="1" applyFont="1" applyFill="1" applyBorder="1" applyAlignment="1">
      <alignment horizontal="center"/>
    </xf>
    <xf numFmtId="3" fontId="3" fillId="0" borderId="1" xfId="0" applyNumberFormat="1" applyFont="1" applyFill="1" applyBorder="1"/>
    <xf numFmtId="3" fontId="3" fillId="0" borderId="2" xfId="0" applyNumberFormat="1" applyFont="1" applyFill="1" applyBorder="1"/>
    <xf numFmtId="3" fontId="3" fillId="0" borderId="3" xfId="0" applyNumberFormat="1" applyFont="1" applyFill="1" applyBorder="1"/>
    <xf numFmtId="3" fontId="3" fillId="0" borderId="4" xfId="0" applyNumberFormat="1" applyFont="1" applyFill="1" applyBorder="1"/>
    <xf numFmtId="3" fontId="3" fillId="0" borderId="5" xfId="0" applyNumberFormat="1" applyFont="1" applyFill="1" applyBorder="1"/>
    <xf numFmtId="3" fontId="3" fillId="0" borderId="6" xfId="0" applyNumberFormat="1" applyFont="1" applyFill="1" applyBorder="1"/>
    <xf numFmtId="3" fontId="3" fillId="0" borderId="10" xfId="0" applyNumberFormat="1" applyFont="1" applyFill="1" applyBorder="1"/>
    <xf numFmtId="3" fontId="3" fillId="0" borderId="9" xfId="0" applyNumberFormat="1" applyFont="1" applyFill="1" applyBorder="1"/>
    <xf numFmtId="0" fontId="3" fillId="0" borderId="17" xfId="0" applyFont="1" applyBorder="1" applyAlignment="1">
      <alignment horizontal="left"/>
    </xf>
    <xf numFmtId="43" fontId="3" fillId="0" borderId="17" xfId="1" applyFont="1" applyBorder="1" applyAlignment="1">
      <alignment horizontal="center"/>
    </xf>
    <xf numFmtId="43" fontId="3" fillId="0" borderId="18" xfId="1" applyFont="1" applyBorder="1" applyAlignment="1">
      <alignment horizontal="center"/>
    </xf>
    <xf numFmtId="0" fontId="3" fillId="0" borderId="3" xfId="0" applyFont="1" applyFill="1" applyBorder="1" applyAlignment="1">
      <alignment horizontal="left"/>
    </xf>
    <xf numFmtId="43" fontId="3" fillId="0" borderId="7" xfId="0" applyNumberFormat="1" applyFont="1" applyBorder="1" applyAlignment="1">
      <alignment horizontal="left"/>
    </xf>
    <xf numFmtId="0" fontId="3" fillId="0" borderId="7" xfId="0" quotePrefix="1" applyFont="1" applyBorder="1" applyAlignment="1">
      <alignment horizontal="left"/>
    </xf>
    <xf numFmtId="10" fontId="3" fillId="0" borderId="7" xfId="0" applyNumberFormat="1" applyFont="1" applyBorder="1" applyAlignment="1">
      <alignment horizontal="left"/>
    </xf>
    <xf numFmtId="43" fontId="3" fillId="0" borderId="4" xfId="0" applyNumberFormat="1" applyFont="1" applyBorder="1" applyAlignment="1">
      <alignment horizontal="left"/>
    </xf>
    <xf numFmtId="43" fontId="3" fillId="0" borderId="5" xfId="0" applyNumberFormat="1" applyFont="1" applyBorder="1" applyAlignment="1">
      <alignment horizontal="left"/>
    </xf>
    <xf numFmtId="43" fontId="3" fillId="0" borderId="6" xfId="0" applyNumberFormat="1" applyFont="1" applyBorder="1" applyAlignment="1">
      <alignment horizontal="left"/>
    </xf>
    <xf numFmtId="43" fontId="3" fillId="0" borderId="8" xfId="1" applyNumberFormat="1" applyFont="1" applyFill="1" applyBorder="1" applyAlignment="1"/>
    <xf numFmtId="43" fontId="3" fillId="0" borderId="7" xfId="1" applyNumberFormat="1" applyFont="1" applyFill="1" applyBorder="1" applyAlignment="1"/>
    <xf numFmtId="43" fontId="3" fillId="0" borderId="7" xfId="1" applyNumberFormat="1" applyFont="1" applyBorder="1" applyAlignment="1">
      <alignment horizontal="right"/>
    </xf>
    <xf numFmtId="43" fontId="3" fillId="0" borderId="19" xfId="1" applyFont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6" fontId="3" fillId="2" borderId="7" xfId="0" applyNumberFormat="1" applyFont="1" applyFill="1" applyBorder="1" applyAlignment="1">
      <alignment horizontal="center"/>
    </xf>
    <xf numFmtId="6" fontId="3" fillId="2" borderId="4" xfId="0" applyNumberFormat="1" applyFont="1" applyFill="1" applyBorder="1" applyAlignment="1">
      <alignment horizontal="center"/>
    </xf>
    <xf numFmtId="164" fontId="13" fillId="0" borderId="0" xfId="1" applyNumberFormat="1" applyFont="1" applyFill="1" applyBorder="1" applyAlignment="1">
      <alignment horizontal="center"/>
    </xf>
    <xf numFmtId="0" fontId="1" fillId="0" borderId="0" xfId="0" applyFont="1" applyBorder="1" applyAlignment="1">
      <alignment horizontal="left"/>
    </xf>
    <xf numFmtId="164" fontId="3" fillId="0" borderId="7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10" fontId="3" fillId="0" borderId="7" xfId="0" applyNumberFormat="1" applyFont="1" applyBorder="1" applyAlignment="1">
      <alignment horizontal="right"/>
    </xf>
    <xf numFmtId="0" fontId="3" fillId="0" borderId="7" xfId="0" applyFont="1" applyBorder="1" applyAlignment="1">
      <alignment horizontal="right"/>
    </xf>
    <xf numFmtId="0" fontId="0" fillId="0" borderId="7" xfId="0" applyBorder="1" applyAlignment="1">
      <alignment horizontal="right"/>
    </xf>
    <xf numFmtId="164" fontId="3" fillId="0" borderId="1" xfId="1" applyNumberFormat="1" applyFont="1" applyBorder="1"/>
    <xf numFmtId="43" fontId="3" fillId="0" borderId="7" xfId="0" applyNumberFormat="1" applyFont="1" applyBorder="1"/>
    <xf numFmtId="43" fontId="3" fillId="0" borderId="0" xfId="0" applyNumberFormat="1" applyFont="1" applyBorder="1"/>
    <xf numFmtId="43" fontId="0" fillId="0" borderId="0" xfId="1" applyFont="1"/>
    <xf numFmtId="0" fontId="3" fillId="4" borderId="17" xfId="0" applyFont="1" applyFill="1" applyBorder="1" applyAlignment="1">
      <alignment horizontal="center"/>
    </xf>
    <xf numFmtId="0" fontId="3" fillId="4" borderId="18" xfId="0" applyFont="1" applyFill="1" applyBorder="1" applyAlignment="1">
      <alignment horizontal="center"/>
    </xf>
    <xf numFmtId="164" fontId="3" fillId="0" borderId="12" xfId="1" applyNumberFormat="1" applyFont="1" applyFill="1" applyBorder="1" applyAlignment="1">
      <alignment horizontal="center"/>
    </xf>
    <xf numFmtId="0" fontId="13" fillId="0" borderId="0" xfId="0" applyFont="1"/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6" fontId="3" fillId="2" borderId="1" xfId="0" applyNumberFormat="1" applyFont="1" applyFill="1" applyBorder="1" applyAlignment="1">
      <alignment horizontal="center"/>
    </xf>
    <xf numFmtId="6" fontId="3" fillId="2" borderId="3" xfId="0" applyNumberFormat="1" applyFont="1" applyFill="1" applyBorder="1" applyAlignment="1">
      <alignment horizontal="center"/>
    </xf>
    <xf numFmtId="6" fontId="3" fillId="2" borderId="8" xfId="0" applyNumberFormat="1" applyFont="1" applyFill="1" applyBorder="1" applyAlignment="1">
      <alignment horizontal="center"/>
    </xf>
    <xf numFmtId="6" fontId="3" fillId="2" borderId="7" xfId="0" applyNumberFormat="1" applyFont="1" applyFill="1" applyBorder="1" applyAlignment="1">
      <alignment horizontal="center"/>
    </xf>
    <xf numFmtId="164" fontId="0" fillId="0" borderId="2" xfId="0" applyNumberFormat="1" applyBorder="1"/>
    <xf numFmtId="43" fontId="3" fillId="0" borderId="5" xfId="1" applyNumberFormat="1" applyFont="1" applyFill="1" applyBorder="1" applyAlignment="1"/>
    <xf numFmtId="43" fontId="3" fillId="0" borderId="5" xfId="1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0" borderId="28" xfId="0" applyFont="1" applyBorder="1" applyAlignment="1">
      <alignment horizontal="right"/>
    </xf>
    <xf numFmtId="164" fontId="3" fillId="0" borderId="35" xfId="1" applyNumberFormat="1" applyFont="1" applyFill="1" applyBorder="1" applyAlignment="1">
      <alignment horizontal="center"/>
    </xf>
    <xf numFmtId="0" fontId="3" fillId="0" borderId="28" xfId="0" quotePrefix="1" applyFont="1" applyBorder="1" applyAlignment="1">
      <alignment horizontal="right"/>
    </xf>
    <xf numFmtId="0" fontId="2" fillId="4" borderId="33" xfId="0" applyFont="1" applyFill="1" applyBorder="1" applyAlignment="1"/>
    <xf numFmtId="0" fontId="2" fillId="4" borderId="20" xfId="0" applyFont="1" applyFill="1" applyBorder="1"/>
    <xf numFmtId="170" fontId="3" fillId="0" borderId="36" xfId="0" applyNumberFormat="1" applyFont="1" applyBorder="1"/>
    <xf numFmtId="10" fontId="3" fillId="0" borderId="12" xfId="5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43" fontId="3" fillId="0" borderId="8" xfId="0" quotePrefix="1" applyNumberFormat="1" applyFont="1" applyBorder="1" applyAlignment="1">
      <alignment horizontal="left"/>
    </xf>
    <xf numFmtId="43" fontId="3" fillId="0" borderId="0" xfId="0" quotePrefix="1" applyNumberFormat="1" applyFont="1" applyBorder="1" applyAlignment="1">
      <alignment horizontal="left"/>
    </xf>
    <xf numFmtId="43" fontId="3" fillId="0" borderId="7" xfId="0" quotePrefix="1" applyNumberFormat="1" applyFont="1" applyBorder="1" applyAlignment="1">
      <alignment horizontal="left"/>
    </xf>
    <xf numFmtId="43" fontId="0" fillId="0" borderId="0" xfId="0" applyNumberFormat="1" applyBorder="1"/>
    <xf numFmtId="43" fontId="0" fillId="0" borderId="7" xfId="0" applyNumberFormat="1" applyBorder="1"/>
    <xf numFmtId="164" fontId="3" fillId="0" borderId="0" xfId="1" applyNumberFormat="1" applyFont="1"/>
    <xf numFmtId="164" fontId="0" fillId="0" borderId="0" xfId="1" applyNumberFormat="1" applyFont="1" applyBorder="1"/>
    <xf numFmtId="164" fontId="15" fillId="0" borderId="0" xfId="1" applyNumberFormat="1" applyFont="1" applyBorder="1"/>
    <xf numFmtId="170" fontId="0" fillId="0" borderId="0" xfId="1" applyNumberFormat="1" applyFont="1"/>
    <xf numFmtId="170" fontId="3" fillId="6" borderId="14" xfId="1" applyNumberFormat="1" applyFont="1" applyFill="1" applyBorder="1" applyAlignment="1">
      <alignment horizontal="center"/>
    </xf>
    <xf numFmtId="170" fontId="1" fillId="0" borderId="0" xfId="1" applyNumberFormat="1" applyFont="1"/>
    <xf numFmtId="170" fontId="3" fillId="0" borderId="16" xfId="1" applyNumberFormat="1" applyFont="1" applyBorder="1"/>
    <xf numFmtId="170" fontId="0" fillId="0" borderId="16" xfId="1" applyNumberFormat="1" applyFont="1" applyBorder="1"/>
    <xf numFmtId="170" fontId="3" fillId="0" borderId="0" xfId="1" applyNumberFormat="1" applyFont="1"/>
    <xf numFmtId="164" fontId="17" fillId="0" borderId="0" xfId="1" applyNumberFormat="1" applyFont="1" applyBorder="1"/>
    <xf numFmtId="164" fontId="1" fillId="0" borderId="0" xfId="1" applyNumberFormat="1" applyFont="1" applyBorder="1"/>
    <xf numFmtId="167" fontId="0" fillId="0" borderId="12" xfId="0" applyNumberFormat="1" applyBorder="1"/>
    <xf numFmtId="170" fontId="3" fillId="0" borderId="37" xfId="0" applyNumberFormat="1" applyFont="1" applyBorder="1"/>
    <xf numFmtId="170" fontId="3" fillId="0" borderId="38" xfId="0" applyNumberFormat="1" applyFont="1" applyBorder="1"/>
    <xf numFmtId="170" fontId="3" fillId="0" borderId="31" xfId="0" applyNumberFormat="1" applyFont="1" applyBorder="1"/>
    <xf numFmtId="10" fontId="3" fillId="0" borderId="32" xfId="5" applyNumberFormat="1" applyFont="1" applyFill="1" applyBorder="1" applyAlignment="1">
      <alignment horizontal="center"/>
    </xf>
    <xf numFmtId="10" fontId="3" fillId="0" borderId="25" xfId="5" applyNumberFormat="1" applyFont="1" applyFill="1" applyBorder="1" applyAlignment="1">
      <alignment horizontal="center"/>
    </xf>
    <xf numFmtId="10" fontId="3" fillId="0" borderId="34" xfId="5" applyNumberFormat="1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169" fontId="3" fillId="0" borderId="7" xfId="5" applyNumberFormat="1" applyFont="1" applyFill="1" applyBorder="1" applyAlignment="1">
      <alignment horizontal="right"/>
    </xf>
    <xf numFmtId="164" fontId="3" fillId="0" borderId="6" xfId="0" applyNumberFormat="1" applyFont="1" applyFill="1" applyBorder="1"/>
    <xf numFmtId="0" fontId="18" fillId="0" borderId="0" xfId="0" applyFont="1" applyFill="1" applyAlignment="1">
      <alignment horizontal="center"/>
    </xf>
    <xf numFmtId="171" fontId="0" fillId="0" borderId="0" xfId="0" applyNumberFormat="1"/>
    <xf numFmtId="43" fontId="0" fillId="0" borderId="0" xfId="0" applyNumberFormat="1" applyFill="1" applyBorder="1"/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10" fontId="0" fillId="0" borderId="0" xfId="5" applyNumberFormat="1" applyFont="1"/>
    <xf numFmtId="9" fontId="10" fillId="0" borderId="0" xfId="5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3" fontId="3" fillId="0" borderId="9" xfId="1" applyNumberFormat="1" applyFont="1" applyFill="1" applyBorder="1" applyAlignment="1">
      <alignment horizontal="right"/>
    </xf>
    <xf numFmtId="164" fontId="3" fillId="5" borderId="0" xfId="1" applyNumberFormat="1" applyFont="1" applyFill="1" applyBorder="1" applyAlignment="1">
      <alignment horizontal="center"/>
    </xf>
    <xf numFmtId="164" fontId="15" fillId="0" borderId="0" xfId="1" applyNumberFormat="1" applyFont="1" applyBorder="1" applyAlignment="1">
      <alignment horizontal="center"/>
    </xf>
    <xf numFmtId="170" fontId="3" fillId="0" borderId="0" xfId="1" applyNumberFormat="1" applyFont="1" applyFill="1" applyBorder="1" applyAlignment="1">
      <alignment horizontal="center"/>
    </xf>
    <xf numFmtId="170" fontId="3" fillId="0" borderId="0" xfId="1" applyNumberFormat="1" applyFont="1" applyFill="1" applyBorder="1" applyAlignment="1">
      <alignment horizontal="center" wrapText="1"/>
    </xf>
    <xf numFmtId="0" fontId="3" fillId="0" borderId="0" xfId="0" applyFont="1" applyFill="1"/>
    <xf numFmtId="164" fontId="3" fillId="0" borderId="0" xfId="0" applyNumberFormat="1" applyFont="1" applyFill="1"/>
    <xf numFmtId="0" fontId="3" fillId="0" borderId="0" xfId="0" applyFont="1" applyFill="1" applyAlignment="1">
      <alignment horizontal="right"/>
    </xf>
    <xf numFmtId="3" fontId="3" fillId="0" borderId="0" xfId="0" applyNumberFormat="1" applyFont="1" applyFill="1"/>
    <xf numFmtId="167" fontId="0" fillId="0" borderId="0" xfId="0" applyNumberFormat="1" applyBorder="1"/>
    <xf numFmtId="0" fontId="3" fillId="2" borderId="8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41" fontId="3" fillId="0" borderId="21" xfId="0" applyNumberFormat="1" applyFont="1" applyBorder="1" applyAlignment="1">
      <alignment horizontal="right"/>
    </xf>
    <xf numFmtId="41" fontId="3" fillId="0" borderId="18" xfId="0" applyNumberFormat="1" applyFont="1" applyBorder="1" applyAlignment="1">
      <alignment horizontal="right"/>
    </xf>
    <xf numFmtId="41" fontId="3" fillId="0" borderId="8" xfId="0" applyNumberFormat="1" applyFont="1" applyBorder="1"/>
    <xf numFmtId="41" fontId="3" fillId="0" borderId="0" xfId="0" applyNumberFormat="1" applyFont="1" applyBorder="1"/>
    <xf numFmtId="41" fontId="3" fillId="0" borderId="7" xfId="0" applyNumberFormat="1" applyFont="1" applyBorder="1"/>
    <xf numFmtId="41" fontId="3" fillId="0" borderId="11" xfId="0" applyNumberFormat="1" applyFont="1" applyBorder="1"/>
    <xf numFmtId="41" fontId="3" fillId="0" borderId="4" xfId="0" applyNumberFormat="1" applyFont="1" applyBorder="1"/>
    <xf numFmtId="41" fontId="3" fillId="0" borderId="5" xfId="0" applyNumberFormat="1" applyFont="1" applyBorder="1"/>
    <xf numFmtId="41" fontId="3" fillId="0" borderId="6" xfId="0" applyNumberFormat="1" applyFont="1" applyBorder="1"/>
    <xf numFmtId="41" fontId="3" fillId="0" borderId="9" xfId="0" applyNumberFormat="1" applyFont="1" applyBorder="1"/>
    <xf numFmtId="41" fontId="3" fillId="0" borderId="17" xfId="0" applyNumberFormat="1" applyFont="1" applyBorder="1" applyAlignment="1">
      <alignment horizontal="right"/>
    </xf>
    <xf numFmtId="41" fontId="3" fillId="0" borderId="19" xfId="0" applyNumberFormat="1" applyFont="1" applyBorder="1" applyAlignment="1">
      <alignment horizontal="right"/>
    </xf>
    <xf numFmtId="41" fontId="3" fillId="0" borderId="11" xfId="0" applyNumberFormat="1" applyFont="1" applyFill="1" applyBorder="1" applyAlignment="1">
      <alignment horizontal="right"/>
    </xf>
    <xf numFmtId="41" fontId="3" fillId="0" borderId="9" xfId="0" applyNumberFormat="1" applyFont="1" applyFill="1" applyBorder="1" applyAlignment="1">
      <alignment horizontal="right"/>
    </xf>
    <xf numFmtId="41" fontId="3" fillId="0" borderId="6" xfId="0" applyNumberFormat="1" applyFont="1" applyFill="1" applyBorder="1" applyAlignment="1">
      <alignment horizontal="right"/>
    </xf>
    <xf numFmtId="43" fontId="3" fillId="0" borderId="17" xfId="1" applyNumberFormat="1" applyFont="1" applyFill="1" applyBorder="1" applyAlignment="1"/>
    <xf numFmtId="43" fontId="3" fillId="0" borderId="1" xfId="1" applyNumberFormat="1" applyFont="1" applyFill="1" applyBorder="1" applyAlignment="1"/>
    <xf numFmtId="43" fontId="3" fillId="0" borderId="4" xfId="1" applyNumberFormat="1" applyFont="1" applyFill="1" applyBorder="1" applyAlignment="1"/>
    <xf numFmtId="43" fontId="3" fillId="0" borderId="18" xfId="1" applyNumberFormat="1" applyFont="1" applyFill="1" applyBorder="1" applyAlignment="1"/>
    <xf numFmtId="43" fontId="3" fillId="0" borderId="2" xfId="1" applyNumberFormat="1" applyFont="1" applyFill="1" applyBorder="1" applyAlignment="1"/>
    <xf numFmtId="43" fontId="3" fillId="0" borderId="19" xfId="1" applyNumberFormat="1" applyFont="1" applyFill="1" applyBorder="1" applyAlignment="1"/>
    <xf numFmtId="43" fontId="3" fillId="0" borderId="3" xfId="1" applyNumberFormat="1" applyFont="1" applyFill="1" applyBorder="1" applyAlignment="1"/>
    <xf numFmtId="43" fontId="3" fillId="0" borderId="6" xfId="1" applyNumberFormat="1" applyFont="1" applyFill="1" applyBorder="1" applyAlignment="1"/>
    <xf numFmtId="41" fontId="13" fillId="0" borderId="0" xfId="0" applyNumberFormat="1" applyFont="1"/>
    <xf numFmtId="16" fontId="3" fillId="0" borderId="8" xfId="0" quotePrefix="1" applyNumberFormat="1" applyFont="1" applyBorder="1" applyAlignment="1">
      <alignment horizontal="center"/>
    </xf>
    <xf numFmtId="16" fontId="3" fillId="0" borderId="11" xfId="0" quotePrefix="1" applyNumberFormat="1" applyFont="1" applyBorder="1" applyAlignment="1">
      <alignment horizontal="center"/>
    </xf>
    <xf numFmtId="172" fontId="3" fillId="0" borderId="0" xfId="1" applyNumberFormat="1" applyFont="1"/>
    <xf numFmtId="0" fontId="3" fillId="0" borderId="0" xfId="0" applyFont="1" applyAlignment="1">
      <alignment horizontal="center"/>
    </xf>
    <xf numFmtId="0" fontId="3" fillId="0" borderId="10" xfId="0" applyFont="1" applyFill="1" applyBorder="1" applyAlignment="1">
      <alignment horizontal="left"/>
    </xf>
    <xf numFmtId="16" fontId="3" fillId="0" borderId="11" xfId="0" quotePrefix="1" applyNumberFormat="1" applyFont="1" applyFill="1" applyBorder="1" applyAlignment="1">
      <alignment horizontal="left"/>
    </xf>
    <xf numFmtId="0" fontId="3" fillId="0" borderId="11" xfId="0" quotePrefix="1" applyFont="1" applyBorder="1" applyAlignment="1">
      <alignment horizontal="left"/>
    </xf>
    <xf numFmtId="10" fontId="3" fillId="0" borderId="11" xfId="0" applyNumberFormat="1" applyFont="1" applyBorder="1" applyAlignment="1">
      <alignment horizontal="left"/>
    </xf>
    <xf numFmtId="0" fontId="3" fillId="0" borderId="11" xfId="4" applyFont="1" applyFill="1" applyBorder="1" applyAlignment="1">
      <alignment horizontal="left"/>
    </xf>
    <xf numFmtId="0" fontId="3" fillId="0" borderId="21" xfId="0" applyFont="1" applyBorder="1" applyAlignment="1">
      <alignment horizontal="left"/>
    </xf>
    <xf numFmtId="41" fontId="3" fillId="0" borderId="21" xfId="0" applyNumberFormat="1" applyFont="1" applyFill="1" applyBorder="1" applyAlignment="1">
      <alignment horizontal="right"/>
    </xf>
    <xf numFmtId="41" fontId="3" fillId="0" borderId="17" xfId="0" applyNumberFormat="1" applyFont="1" applyFill="1" applyBorder="1" applyAlignment="1">
      <alignment horizontal="right"/>
    </xf>
    <xf numFmtId="0" fontId="3" fillId="4" borderId="4" xfId="0" applyFont="1" applyFill="1" applyBorder="1" applyAlignment="1">
      <alignment horizontal="center"/>
    </xf>
    <xf numFmtId="170" fontId="3" fillId="0" borderId="0" xfId="0" applyNumberFormat="1" applyFont="1" applyFill="1" applyBorder="1"/>
    <xf numFmtId="170" fontId="3" fillId="0" borderId="19" xfId="0" applyNumberFormat="1" applyFont="1" applyBorder="1"/>
    <xf numFmtId="0" fontId="3" fillId="0" borderId="3" xfId="0" applyFont="1" applyBorder="1"/>
    <xf numFmtId="170" fontId="3" fillId="0" borderId="7" xfId="0" applyNumberFormat="1" applyFont="1" applyBorder="1"/>
    <xf numFmtId="170" fontId="3" fillId="0" borderId="6" xfId="0" applyNumberFormat="1" applyFont="1" applyBorder="1"/>
    <xf numFmtId="41" fontId="3" fillId="0" borderId="1" xfId="0" applyNumberFormat="1" applyFont="1" applyBorder="1"/>
    <xf numFmtId="41" fontId="3" fillId="0" borderId="2" xfId="0" applyNumberFormat="1" applyFont="1" applyBorder="1"/>
    <xf numFmtId="41" fontId="3" fillId="0" borderId="3" xfId="0" applyNumberFormat="1" applyFont="1" applyBorder="1"/>
    <xf numFmtId="168" fontId="3" fillId="0" borderId="11" xfId="5" applyNumberFormat="1" applyFont="1" applyFill="1" applyBorder="1" applyAlignment="1">
      <alignment horizontal="right"/>
    </xf>
    <xf numFmtId="168" fontId="3" fillId="0" borderId="7" xfId="0" applyNumberFormat="1" applyFont="1" applyBorder="1" applyAlignment="1">
      <alignment horizontal="right"/>
    </xf>
    <xf numFmtId="164" fontId="0" fillId="0" borderId="7" xfId="0" applyNumberFormat="1" applyBorder="1" applyAlignment="1">
      <alignment horizontal="right"/>
    </xf>
    <xf numFmtId="165" fontId="3" fillId="0" borderId="30" xfId="5" applyNumberFormat="1" applyFont="1" applyFill="1" applyBorder="1" applyAlignment="1">
      <alignment horizontal="center"/>
    </xf>
    <xf numFmtId="165" fontId="3" fillId="0" borderId="13" xfId="5" applyNumberFormat="1" applyFont="1" applyFill="1" applyBorder="1" applyAlignment="1">
      <alignment horizontal="center"/>
    </xf>
    <xf numFmtId="165" fontId="3" fillId="0" borderId="39" xfId="5" applyNumberFormat="1" applyFont="1" applyFill="1" applyBorder="1" applyAlignment="1">
      <alignment horizontal="center"/>
    </xf>
    <xf numFmtId="165" fontId="3" fillId="0" borderId="40" xfId="1" applyNumberFormat="1" applyFont="1" applyFill="1" applyBorder="1" applyAlignment="1">
      <alignment horizontal="center"/>
    </xf>
    <xf numFmtId="165" fontId="3" fillId="0" borderId="13" xfId="1" applyNumberFormat="1" applyFont="1" applyFill="1" applyBorder="1" applyAlignment="1">
      <alignment horizontal="center"/>
    </xf>
    <xf numFmtId="165" fontId="3" fillId="0" borderId="31" xfId="5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9" fontId="0" fillId="0" borderId="0" xfId="5" applyFont="1"/>
    <xf numFmtId="165" fontId="0" fillId="0" borderId="0" xfId="5" applyNumberFormat="1" applyFont="1"/>
    <xf numFmtId="0" fontId="3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6" fontId="3" fillId="2" borderId="1" xfId="0" applyNumberFormat="1" applyFont="1" applyFill="1" applyBorder="1" applyAlignment="1">
      <alignment horizontal="center"/>
    </xf>
    <xf numFmtId="6" fontId="3" fillId="2" borderId="3" xfId="0" applyNumberFormat="1" applyFont="1" applyFill="1" applyBorder="1" applyAlignment="1">
      <alignment horizontal="center"/>
    </xf>
    <xf numFmtId="6" fontId="3" fillId="2" borderId="8" xfId="0" applyNumberFormat="1" applyFont="1" applyFill="1" applyBorder="1" applyAlignment="1">
      <alignment horizontal="center"/>
    </xf>
    <xf numFmtId="0" fontId="19" fillId="0" borderId="0" xfId="0" applyFont="1" applyFill="1" applyAlignment="1">
      <alignment horizontal="center"/>
    </xf>
    <xf numFmtId="0" fontId="19" fillId="0" borderId="0" xfId="0" applyFont="1" applyBorder="1" applyAlignment="1">
      <alignment horizontal="center"/>
    </xf>
    <xf numFmtId="9" fontId="3" fillId="0" borderId="0" xfId="5" applyFont="1"/>
    <xf numFmtId="9" fontId="3" fillId="0" borderId="0" xfId="5" applyNumberFormat="1" applyFont="1"/>
    <xf numFmtId="164" fontId="20" fillId="0" borderId="0" xfId="1" applyNumberFormat="1" applyFont="1" applyFill="1" applyBorder="1" applyAlignment="1">
      <alignment horizontal="center"/>
    </xf>
    <xf numFmtId="10" fontId="20" fillId="0" borderId="30" xfId="5" applyNumberFormat="1" applyFont="1" applyFill="1" applyBorder="1" applyAlignment="1">
      <alignment horizontal="center"/>
    </xf>
    <xf numFmtId="10" fontId="20" fillId="0" borderId="13" xfId="5" applyNumberFormat="1" applyFont="1" applyFill="1" applyBorder="1" applyAlignment="1">
      <alignment horizontal="center"/>
    </xf>
    <xf numFmtId="10" fontId="20" fillId="0" borderId="39" xfId="5" applyNumberFormat="1" applyFont="1" applyFill="1" applyBorder="1" applyAlignment="1">
      <alignment horizontal="center"/>
    </xf>
    <xf numFmtId="164" fontId="20" fillId="0" borderId="13" xfId="1" applyNumberFormat="1" applyFont="1" applyFill="1" applyBorder="1" applyAlignment="1">
      <alignment horizontal="center"/>
    </xf>
    <xf numFmtId="10" fontId="20" fillId="0" borderId="31" xfId="5" applyNumberFormat="1" applyFont="1" applyFill="1" applyBorder="1" applyAlignment="1">
      <alignment horizontal="center"/>
    </xf>
    <xf numFmtId="167" fontId="20" fillId="0" borderId="30" xfId="0" applyNumberFormat="1" applyFont="1" applyBorder="1"/>
    <xf numFmtId="167" fontId="20" fillId="0" borderId="13" xfId="0" applyNumberFormat="1" applyFont="1" applyBorder="1"/>
    <xf numFmtId="164" fontId="20" fillId="0" borderId="8" xfId="1" applyNumberFormat="1" applyFont="1" applyFill="1" applyBorder="1" applyAlignment="1">
      <alignment horizontal="center"/>
    </xf>
    <xf numFmtId="0" fontId="21" fillId="0" borderId="0" xfId="0" applyFont="1"/>
    <xf numFmtId="43" fontId="20" fillId="0" borderId="7" xfId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22" fillId="0" borderId="0" xfId="0" applyFont="1"/>
    <xf numFmtId="0" fontId="22" fillId="0" borderId="0" xfId="0" applyFont="1" applyAlignment="1">
      <alignment horizontal="centerContinuous"/>
    </xf>
    <xf numFmtId="3" fontId="20" fillId="0" borderId="8" xfId="0" applyNumberFormat="1" applyFont="1" applyFill="1" applyBorder="1" applyAlignment="1">
      <alignment horizontal="right"/>
    </xf>
    <xf numFmtId="3" fontId="20" fillId="0" borderId="0" xfId="0" applyNumberFormat="1" applyFont="1" applyFill="1" applyBorder="1" applyAlignment="1">
      <alignment horizontal="right"/>
    </xf>
    <xf numFmtId="3" fontId="20" fillId="0" borderId="11" xfId="0" applyNumberFormat="1" applyFont="1" applyFill="1" applyBorder="1" applyAlignment="1">
      <alignment horizontal="right"/>
    </xf>
    <xf numFmtId="172" fontId="20" fillId="0" borderId="0" xfId="0" applyNumberFormat="1" applyFont="1"/>
    <xf numFmtId="0" fontId="0" fillId="0" borderId="3" xfId="0" applyBorder="1"/>
    <xf numFmtId="0" fontId="1" fillId="0" borderId="0" xfId="0" applyFont="1" applyBorder="1"/>
    <xf numFmtId="10" fontId="20" fillId="0" borderId="3" xfId="5" applyNumberFormat="1" applyFont="1" applyBorder="1" applyAlignment="1">
      <alignment horizontal="right"/>
    </xf>
    <xf numFmtId="0" fontId="22" fillId="0" borderId="3" xfId="0" applyFont="1" applyBorder="1"/>
    <xf numFmtId="166" fontId="20" fillId="0" borderId="7" xfId="1" applyNumberFormat="1" applyFont="1" applyBorder="1" applyAlignment="1">
      <alignment horizontal="center"/>
    </xf>
    <xf numFmtId="166" fontId="20" fillId="0" borderId="6" xfId="1" applyNumberFormat="1" applyFont="1" applyBorder="1" applyAlignment="1">
      <alignment horizontal="center"/>
    </xf>
    <xf numFmtId="164" fontId="0" fillId="0" borderId="5" xfId="5" applyNumberFormat="1" applyFont="1" applyBorder="1"/>
    <xf numFmtId="164" fontId="0" fillId="0" borderId="5" xfId="1" applyNumberFormat="1" applyFont="1" applyBorder="1"/>
    <xf numFmtId="165" fontId="0" fillId="0" borderId="5" xfId="5" applyNumberFormat="1" applyFont="1" applyBorder="1"/>
    <xf numFmtId="9" fontId="0" fillId="0" borderId="5" xfId="5" applyFont="1" applyBorder="1"/>
    <xf numFmtId="10" fontId="0" fillId="0" borderId="5" xfId="5" applyNumberFormat="1" applyFont="1" applyBorder="1"/>
    <xf numFmtId="165" fontId="0" fillId="0" borderId="6" xfId="5" applyNumberFormat="1" applyFont="1" applyBorder="1"/>
    <xf numFmtId="3" fontId="0" fillId="0" borderId="3" xfId="0" applyNumberFormat="1" applyBorder="1"/>
    <xf numFmtId="3" fontId="0" fillId="0" borderId="6" xfId="0" applyNumberFormat="1" applyBorder="1"/>
    <xf numFmtId="164" fontId="3" fillId="0" borderId="2" xfId="0" applyNumberFormat="1" applyFont="1" applyFill="1" applyBorder="1"/>
    <xf numFmtId="164" fontId="3" fillId="0" borderId="3" xfId="0" applyNumberFormat="1" applyFont="1" applyFill="1" applyBorder="1"/>
    <xf numFmtId="164" fontId="3" fillId="0" borderId="7" xfId="0" applyNumberFormat="1" applyFont="1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5" xfId="0" applyFill="1" applyBorder="1"/>
    <xf numFmtId="0" fontId="0" fillId="0" borderId="6" xfId="0" applyFill="1" applyBorder="1"/>
    <xf numFmtId="0" fontId="1" fillId="0" borderId="0" xfId="0" applyFont="1" applyFill="1" applyBorder="1"/>
    <xf numFmtId="0" fontId="1" fillId="0" borderId="5" xfId="0" applyFont="1" applyFill="1" applyBorder="1"/>
    <xf numFmtId="0" fontId="0" fillId="0" borderId="4" xfId="0" quotePrefix="1" applyBorder="1"/>
    <xf numFmtId="0" fontId="0" fillId="0" borderId="5" xfId="0" quotePrefix="1" applyBorder="1"/>
    <xf numFmtId="165" fontId="1" fillId="0" borderId="0" xfId="5" applyNumberFormat="1" applyFont="1" applyBorder="1"/>
    <xf numFmtId="165" fontId="0" fillId="0" borderId="7" xfId="5" applyNumberFormat="1" applyFont="1" applyBorder="1"/>
    <xf numFmtId="3" fontId="20" fillId="0" borderId="8" xfId="1" applyNumberFormat="1" applyFont="1" applyFill="1" applyBorder="1" applyAlignment="1">
      <alignment horizontal="right"/>
    </xf>
    <xf numFmtId="3" fontId="20" fillId="0" borderId="0" xfId="1" applyNumberFormat="1" applyFont="1" applyFill="1" applyBorder="1" applyAlignment="1">
      <alignment horizontal="right"/>
    </xf>
    <xf numFmtId="3" fontId="20" fillId="0" borderId="11" xfId="1" applyNumberFormat="1" applyFont="1" applyFill="1" applyBorder="1" applyAlignment="1">
      <alignment horizontal="right"/>
    </xf>
    <xf numFmtId="0" fontId="0" fillId="0" borderId="7" xfId="0" applyFill="1" applyBorder="1"/>
    <xf numFmtId="0" fontId="20" fillId="0" borderId="11" xfId="0" applyFont="1" applyBorder="1" applyAlignment="1">
      <alignment horizontal="right"/>
    </xf>
    <xf numFmtId="0" fontId="20" fillId="0" borderId="8" xfId="0" applyFont="1" applyBorder="1" applyAlignment="1">
      <alignment horizontal="right"/>
    </xf>
    <xf numFmtId="0" fontId="20" fillId="0" borderId="11" xfId="0" applyFont="1" applyFill="1" applyBorder="1" applyAlignment="1">
      <alignment horizontal="center"/>
    </xf>
    <xf numFmtId="164" fontId="22" fillId="0" borderId="4" xfId="0" applyNumberFormat="1" applyFont="1" applyFill="1" applyBorder="1"/>
    <xf numFmtId="3" fontId="0" fillId="0" borderId="7" xfId="0" applyNumberFormat="1" applyBorder="1"/>
    <xf numFmtId="0" fontId="3" fillId="2" borderId="17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166" fontId="20" fillId="0" borderId="0" xfId="1" applyNumberFormat="1" applyFont="1" applyBorder="1" applyAlignment="1">
      <alignment horizontal="center"/>
    </xf>
    <xf numFmtId="173" fontId="0" fillId="0" borderId="0" xfId="0" applyNumberFormat="1"/>
    <xf numFmtId="0" fontId="3" fillId="0" borderId="11" xfId="0" applyFont="1" applyFill="1" applyBorder="1" applyAlignment="1">
      <alignment horizontal="left"/>
    </xf>
    <xf numFmtId="0" fontId="3" fillId="0" borderId="9" xfId="0" applyFont="1" applyBorder="1" applyAlignment="1">
      <alignment horizontal="left"/>
    </xf>
    <xf numFmtId="164" fontId="3" fillId="7" borderId="14" xfId="1" applyNumberFormat="1" applyFont="1" applyFill="1" applyBorder="1" applyAlignment="1">
      <alignment horizontal="center" wrapText="1"/>
    </xf>
    <xf numFmtId="170" fontId="3" fillId="7" borderId="14" xfId="1" applyNumberFormat="1" applyFont="1" applyFill="1" applyBorder="1" applyAlignment="1">
      <alignment horizontal="center" wrapText="1"/>
    </xf>
    <xf numFmtId="10" fontId="24" fillId="0" borderId="8" xfId="0" applyNumberFormat="1" applyFont="1" applyFill="1" applyBorder="1" applyAlignment="1">
      <alignment horizontal="left"/>
    </xf>
    <xf numFmtId="43" fontId="23" fillId="0" borderId="7" xfId="1" applyFont="1" applyFill="1" applyBorder="1" applyAlignment="1">
      <alignment horizontal="center"/>
    </xf>
    <xf numFmtId="43" fontId="23" fillId="0" borderId="0" xfId="1" applyFont="1" applyFill="1" applyBorder="1" applyAlignment="1">
      <alignment horizontal="center"/>
    </xf>
    <xf numFmtId="43" fontId="23" fillId="0" borderId="8" xfId="1" applyFont="1" applyFill="1" applyBorder="1" applyAlignment="1">
      <alignment horizontal="center"/>
    </xf>
    <xf numFmtId="43" fontId="3" fillId="0" borderId="0" xfId="1" applyFont="1" applyFill="1" applyBorder="1" applyAlignment="1">
      <alignment horizontal="left"/>
    </xf>
    <xf numFmtId="43" fontId="3" fillId="0" borderId="8" xfId="1" applyFont="1" applyFill="1" applyBorder="1" applyAlignment="1">
      <alignment horizontal="left"/>
    </xf>
    <xf numFmtId="43" fontId="3" fillId="0" borderId="7" xfId="1" applyFont="1" applyFill="1" applyBorder="1" applyAlignment="1">
      <alignment horizontal="left"/>
    </xf>
    <xf numFmtId="170" fontId="3" fillId="0" borderId="18" xfId="0" applyNumberFormat="1" applyFont="1" applyFill="1" applyBorder="1"/>
    <xf numFmtId="170" fontId="3" fillId="0" borderId="0" xfId="0" applyNumberFormat="1" applyFont="1" applyFill="1"/>
    <xf numFmtId="170" fontId="3" fillId="0" borderId="2" xfId="0" applyNumberFormat="1" applyFont="1" applyFill="1" applyBorder="1"/>
    <xf numFmtId="170" fontId="3" fillId="0" borderId="5" xfId="0" applyNumberFormat="1" applyFont="1" applyFill="1" applyBorder="1"/>
    <xf numFmtId="170" fontId="3" fillId="0" borderId="0" xfId="0" applyNumberFormat="1" applyFont="1" applyFill="1" applyBorder="1" applyAlignment="1">
      <alignment horizontal="center"/>
    </xf>
    <xf numFmtId="170" fontId="3" fillId="0" borderId="0" xfId="0" applyNumberFormat="1" applyFont="1" applyFill="1" applyBorder="1" applyAlignment="1">
      <alignment horizontal="right"/>
    </xf>
    <xf numFmtId="170" fontId="3" fillId="0" borderId="0" xfId="1" applyNumberFormat="1" applyFont="1" applyFill="1" applyBorder="1"/>
    <xf numFmtId="10" fontId="20" fillId="0" borderId="7" xfId="5" applyNumberFormat="1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10" fontId="20" fillId="0" borderId="6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0" fontId="3" fillId="2" borderId="17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8" xfId="0" quotePrefix="1" applyFont="1" applyFill="1" applyBorder="1" applyAlignment="1">
      <alignment horizontal="center"/>
    </xf>
    <xf numFmtId="0" fontId="3" fillId="2" borderId="0" xfId="0" quotePrefix="1" applyFont="1" applyFill="1" applyBorder="1" applyAlignment="1">
      <alignment horizontal="center"/>
    </xf>
    <xf numFmtId="0" fontId="3" fillId="2" borderId="7" xfId="0" quotePrefix="1" applyFont="1" applyFill="1" applyBorder="1" applyAlignment="1">
      <alignment horizontal="center"/>
    </xf>
    <xf numFmtId="3" fontId="20" fillId="0" borderId="11" xfId="0" applyNumberFormat="1" applyFont="1" applyBorder="1" applyAlignment="1">
      <alignment horizontal="right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43" fontId="1" fillId="0" borderId="0" xfId="1" applyNumberFormat="1" applyFont="1" applyFill="1" applyBorder="1" applyAlignment="1">
      <alignment horizontal="center"/>
    </xf>
    <xf numFmtId="6" fontId="3" fillId="2" borderId="11" xfId="0" applyNumberFormat="1" applyFont="1" applyFill="1" applyBorder="1" applyAlignment="1"/>
    <xf numFmtId="3" fontId="3" fillId="0" borderId="4" xfId="0" applyNumberFormat="1" applyFont="1" applyBorder="1" applyAlignment="1">
      <alignment horizontal="right"/>
    </xf>
    <xf numFmtId="0" fontId="1" fillId="0" borderId="8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8" xfId="0" quotePrefix="1" applyFont="1" applyFill="1" applyBorder="1" applyAlignment="1">
      <alignment horizontal="center"/>
    </xf>
    <xf numFmtId="0" fontId="3" fillId="2" borderId="0" xfId="0" quotePrefix="1" applyFont="1" applyFill="1" applyBorder="1" applyAlignment="1">
      <alignment horizontal="center"/>
    </xf>
    <xf numFmtId="0" fontId="3" fillId="2" borderId="7" xfId="0" quotePrefix="1" applyFont="1" applyFill="1" applyBorder="1" applyAlignment="1">
      <alignment horizontal="center"/>
    </xf>
    <xf numFmtId="6" fontId="3" fillId="2" borderId="3" xfId="0" applyNumberFormat="1" applyFont="1" applyFill="1" applyBorder="1" applyAlignment="1">
      <alignment horizontal="center"/>
    </xf>
    <xf numFmtId="6" fontId="3" fillId="2" borderId="6" xfId="0" applyNumberFormat="1" applyFont="1" applyFill="1" applyBorder="1" applyAlignment="1">
      <alignment horizontal="center"/>
    </xf>
    <xf numFmtId="164" fontId="15" fillId="0" borderId="1" xfId="1" applyNumberFormat="1" applyFont="1" applyBorder="1" applyAlignment="1">
      <alignment horizontal="center"/>
    </xf>
    <xf numFmtId="164" fontId="15" fillId="0" borderId="2" xfId="1" applyNumberFormat="1" applyFont="1" applyBorder="1" applyAlignment="1">
      <alignment horizontal="center"/>
    </xf>
    <xf numFmtId="164" fontId="15" fillId="0" borderId="3" xfId="1" applyNumberFormat="1" applyFont="1" applyBorder="1" applyAlignment="1">
      <alignment horizontal="center"/>
    </xf>
    <xf numFmtId="164" fontId="15" fillId="0" borderId="8" xfId="1" applyNumberFormat="1" applyFont="1" applyBorder="1" applyAlignment="1">
      <alignment horizontal="center"/>
    </xf>
    <xf numFmtId="164" fontId="15" fillId="0" borderId="7" xfId="1" applyNumberFormat="1" applyFont="1" applyBorder="1" applyAlignment="1">
      <alignment horizontal="center"/>
    </xf>
    <xf numFmtId="164" fontId="0" fillId="0" borderId="8" xfId="1" applyNumberFormat="1" applyFont="1" applyBorder="1"/>
    <xf numFmtId="164" fontId="0" fillId="0" borderId="7" xfId="1" applyNumberFormat="1" applyFont="1" applyBorder="1"/>
    <xf numFmtId="164" fontId="15" fillId="0" borderId="8" xfId="1" applyNumberFormat="1" applyFont="1" applyBorder="1"/>
    <xf numFmtId="164" fontId="15" fillId="0" borderId="7" xfId="1" applyNumberFormat="1" applyFont="1" applyBorder="1"/>
    <xf numFmtId="164" fontId="0" fillId="0" borderId="4" xfId="1" applyNumberFormat="1" applyFont="1" applyBorder="1"/>
    <xf numFmtId="164" fontId="0" fillId="0" borderId="6" xfId="1" applyNumberFormat="1" applyFont="1" applyBorder="1"/>
    <xf numFmtId="0" fontId="15" fillId="0" borderId="1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15" fillId="0" borderId="41" xfId="0" applyFont="1" applyBorder="1" applyAlignment="1">
      <alignment horizontal="center"/>
    </xf>
    <xf numFmtId="0" fontId="15" fillId="0" borderId="2" xfId="0" applyFont="1" applyFill="1" applyBorder="1" applyAlignment="1">
      <alignment horizontal="center"/>
    </xf>
    <xf numFmtId="0" fontId="15" fillId="0" borderId="3" xfId="0" applyFont="1" applyFill="1" applyBorder="1" applyAlignment="1">
      <alignment horizontal="center"/>
    </xf>
    <xf numFmtId="164" fontId="17" fillId="0" borderId="7" xfId="1" applyNumberFormat="1" applyFont="1" applyBorder="1"/>
    <xf numFmtId="3" fontId="0" fillId="0" borderId="0" xfId="0" applyNumberFormat="1" applyBorder="1"/>
    <xf numFmtId="3" fontId="15" fillId="0" borderId="0" xfId="0" applyNumberFormat="1" applyFont="1" applyBorder="1"/>
    <xf numFmtId="3" fontId="0" fillId="0" borderId="5" xfId="0" applyNumberFormat="1" applyBorder="1"/>
    <xf numFmtId="0" fontId="1" fillId="0" borderId="0" xfId="0" applyFont="1" applyFill="1"/>
    <xf numFmtId="43" fontId="3" fillId="0" borderId="0" xfId="0" applyNumberFormat="1" applyFont="1" applyFill="1"/>
    <xf numFmtId="43" fontId="13" fillId="0" borderId="0" xfId="1" applyFont="1"/>
    <xf numFmtId="43" fontId="0" fillId="0" borderId="0" xfId="1" applyNumberFormat="1" applyFont="1"/>
    <xf numFmtId="164" fontId="1" fillId="0" borderId="7" xfId="1" applyNumberFormat="1" applyFont="1" applyBorder="1"/>
    <xf numFmtId="164" fontId="1" fillId="0" borderId="6" xfId="1" applyNumberFormat="1" applyFont="1" applyBorder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164" fontId="13" fillId="0" borderId="0" xfId="1" applyNumberFormat="1" applyFont="1"/>
    <xf numFmtId="0" fontId="3" fillId="0" borderId="0" xfId="0" quotePrefix="1" applyFont="1" applyFill="1" applyBorder="1" applyAlignment="1">
      <alignment horizontal="left"/>
    </xf>
    <xf numFmtId="0" fontId="3" fillId="0" borderId="8" xfId="0" quotePrefix="1" applyFont="1" applyFill="1" applyBorder="1" applyAlignment="1">
      <alignment horizontal="left"/>
    </xf>
    <xf numFmtId="0" fontId="3" fillId="0" borderId="7" xfId="0" quotePrefix="1" applyFont="1" applyFill="1" applyBorder="1" applyAlignment="1">
      <alignment horizontal="left"/>
    </xf>
    <xf numFmtId="10" fontId="3" fillId="0" borderId="0" xfId="0" applyNumberFormat="1" applyFont="1" applyFill="1" applyBorder="1" applyAlignment="1">
      <alignment horizontal="left"/>
    </xf>
    <xf numFmtId="10" fontId="3" fillId="0" borderId="8" xfId="0" applyNumberFormat="1" applyFont="1" applyFill="1" applyBorder="1" applyAlignment="1">
      <alignment horizontal="left"/>
    </xf>
    <xf numFmtId="10" fontId="3" fillId="0" borderId="7" xfId="0" applyNumberFormat="1" applyFont="1" applyFill="1" applyBorder="1" applyAlignment="1">
      <alignment horizontal="left"/>
    </xf>
    <xf numFmtId="43" fontId="3" fillId="0" borderId="5" xfId="0" applyNumberFormat="1" applyFont="1" applyFill="1" applyBorder="1" applyAlignment="1">
      <alignment horizontal="left"/>
    </xf>
    <xf numFmtId="43" fontId="3" fillId="0" borderId="4" xfId="0" applyNumberFormat="1" applyFont="1" applyFill="1" applyBorder="1" applyAlignment="1">
      <alignment horizontal="left"/>
    </xf>
    <xf numFmtId="43" fontId="3" fillId="0" borderId="6" xfId="0" applyNumberFormat="1" applyFont="1" applyFill="1" applyBorder="1" applyAlignment="1">
      <alignment horizontal="left"/>
    </xf>
    <xf numFmtId="164" fontId="20" fillId="0" borderId="7" xfId="1" applyNumberFormat="1" applyFont="1" applyFill="1" applyBorder="1" applyAlignment="1">
      <alignment horizontal="center"/>
    </xf>
    <xf numFmtId="43" fontId="3" fillId="0" borderId="0" xfId="0" quotePrefix="1" applyNumberFormat="1" applyFont="1" applyFill="1" applyBorder="1" applyAlignment="1">
      <alignment horizontal="left"/>
    </xf>
    <xf numFmtId="170" fontId="3" fillId="7" borderId="22" xfId="1" applyNumberFormat="1" applyFont="1" applyFill="1" applyBorder="1" applyAlignment="1"/>
    <xf numFmtId="170" fontId="3" fillId="7" borderId="24" xfId="1" applyNumberFormat="1" applyFont="1" applyFill="1" applyBorder="1" applyAlignment="1"/>
    <xf numFmtId="170" fontId="3" fillId="7" borderId="26" xfId="1" applyNumberFormat="1" applyFont="1" applyFill="1" applyBorder="1" applyAlignment="1"/>
    <xf numFmtId="41" fontId="0" fillId="0" borderId="0" xfId="0" applyNumberFormat="1"/>
    <xf numFmtId="43" fontId="23" fillId="0" borderId="0" xfId="1" applyFont="1" applyBorder="1" applyAlignment="1">
      <alignment horizontal="center"/>
    </xf>
    <xf numFmtId="43" fontId="23" fillId="0" borderId="8" xfId="1" applyFont="1" applyBorder="1" applyAlignment="1">
      <alignment horizontal="center"/>
    </xf>
    <xf numFmtId="43" fontId="23" fillId="0" borderId="7" xfId="1" applyFont="1" applyBorder="1" applyAlignment="1">
      <alignment horizontal="center"/>
    </xf>
    <xf numFmtId="41" fontId="13" fillId="0" borderId="0" xfId="0" applyNumberFormat="1" applyFont="1" applyAlignment="1">
      <alignment horizontal="center"/>
    </xf>
    <xf numFmtId="41" fontId="13" fillId="0" borderId="0" xfId="0" applyNumberFormat="1" applyFont="1" applyAlignment="1">
      <alignment horizontal="left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170" fontId="24" fillId="0" borderId="0" xfId="5" applyNumberFormat="1" applyFont="1" applyFill="1" applyBorder="1" applyAlignment="1">
      <alignment horizontal="right"/>
    </xf>
    <xf numFmtId="167" fontId="20" fillId="0" borderId="3" xfId="5" applyNumberFormat="1" applyFont="1" applyFill="1" applyBorder="1" applyAlignment="1">
      <alignment horizontal="right"/>
    </xf>
    <xf numFmtId="164" fontId="20" fillId="0" borderId="0" xfId="1" applyNumberFormat="1" applyFont="1" applyFill="1" applyBorder="1" applyAlignment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10" fontId="20" fillId="0" borderId="7" xfId="5" applyNumberFormat="1" applyFont="1" applyBorder="1" applyAlignment="1">
      <alignment horizontal="right"/>
    </xf>
    <xf numFmtId="0" fontId="0" fillId="8" borderId="1" xfId="0" applyFill="1" applyBorder="1"/>
    <xf numFmtId="6" fontId="3" fillId="8" borderId="10" xfId="0" applyNumberFormat="1" applyFont="1" applyFill="1" applyBorder="1" applyAlignment="1">
      <alignment horizontal="center"/>
    </xf>
    <xf numFmtId="0" fontId="0" fillId="8" borderId="8" xfId="0" applyFill="1" applyBorder="1"/>
    <xf numFmtId="6" fontId="3" fillId="8" borderId="9" xfId="0" applyNumberFormat="1" applyFont="1" applyFill="1" applyBorder="1" applyAlignment="1">
      <alignment horizontal="center"/>
    </xf>
    <xf numFmtId="6" fontId="3" fillId="8" borderId="8" xfId="0" applyNumberFormat="1" applyFont="1" applyFill="1" applyBorder="1" applyAlignment="1">
      <alignment horizontal="right"/>
    </xf>
    <xf numFmtId="164" fontId="3" fillId="8" borderId="7" xfId="1" applyNumberFormat="1" applyFont="1" applyFill="1" applyBorder="1"/>
    <xf numFmtId="0" fontId="3" fillId="8" borderId="4" xfId="0" applyFont="1" applyFill="1" applyBorder="1" applyAlignment="1">
      <alignment horizontal="right"/>
    </xf>
    <xf numFmtId="164" fontId="3" fillId="8" borderId="10" xfId="1" applyNumberFormat="1" applyFont="1" applyFill="1" applyBorder="1"/>
    <xf numFmtId="10" fontId="3" fillId="8" borderId="21" xfId="5" applyNumberFormat="1" applyFont="1" applyFill="1" applyBorder="1"/>
    <xf numFmtId="10" fontId="3" fillId="8" borderId="19" xfId="5" applyNumberFormat="1" applyFont="1" applyFill="1" applyBorder="1"/>
    <xf numFmtId="9" fontId="0" fillId="0" borderId="0" xfId="0" applyNumberFormat="1" applyBorder="1"/>
    <xf numFmtId="9" fontId="0" fillId="0" borderId="0" xfId="5" applyFont="1" applyBorder="1"/>
    <xf numFmtId="6" fontId="2" fillId="0" borderId="0" xfId="0" applyNumberFormat="1" applyFont="1" applyBorder="1" applyAlignment="1">
      <alignment horizontal="center"/>
    </xf>
    <xf numFmtId="6" fontId="2" fillId="0" borderId="0" xfId="0" applyNumberFormat="1" applyFont="1" applyBorder="1" applyAlignment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170" fontId="24" fillId="0" borderId="6" xfId="5" applyNumberFormat="1" applyFont="1" applyFill="1" applyBorder="1" applyAlignment="1">
      <alignment horizontal="right"/>
    </xf>
    <xf numFmtId="1" fontId="20" fillId="0" borderId="0" xfId="0" applyNumberFormat="1" applyFont="1"/>
    <xf numFmtId="1" fontId="3" fillId="0" borderId="0" xfId="1" applyNumberFormat="1" applyFont="1"/>
    <xf numFmtId="3" fontId="11" fillId="0" borderId="17" xfId="1" applyNumberFormat="1" applyFont="1" applyFill="1" applyBorder="1" applyAlignment="1">
      <alignment horizontal="right"/>
    </xf>
    <xf numFmtId="3" fontId="11" fillId="0" borderId="18" xfId="1" applyNumberFormat="1" applyFont="1" applyFill="1" applyBorder="1" applyAlignment="1">
      <alignment horizontal="right"/>
    </xf>
    <xf numFmtId="3" fontId="11" fillId="0" borderId="21" xfId="1" applyNumberFormat="1" applyFont="1" applyFill="1" applyBorder="1" applyAlignment="1">
      <alignment horizontal="right"/>
    </xf>
    <xf numFmtId="3" fontId="11" fillId="0" borderId="19" xfId="1" applyNumberFormat="1" applyFont="1" applyFill="1" applyBorder="1" applyAlignment="1">
      <alignment horizontal="right"/>
    </xf>
    <xf numFmtId="3" fontId="0" fillId="0" borderId="11" xfId="0" applyNumberFormat="1" applyBorder="1"/>
    <xf numFmtId="3" fontId="0" fillId="0" borderId="11" xfId="0" applyNumberFormat="1" applyFill="1" applyBorder="1"/>
    <xf numFmtId="3" fontId="0" fillId="0" borderId="21" xfId="0" applyNumberFormat="1" applyBorder="1"/>
    <xf numFmtId="3" fontId="3" fillId="0" borderId="21" xfId="0" applyNumberFormat="1" applyFont="1" applyBorder="1"/>
    <xf numFmtId="3" fontId="20" fillId="0" borderId="8" xfId="1" applyNumberFormat="1" applyFont="1" applyFill="1" applyBorder="1" applyAlignment="1"/>
    <xf numFmtId="3" fontId="20" fillId="0" borderId="0" xfId="1" applyNumberFormat="1" applyFont="1" applyFill="1" applyBorder="1" applyAlignment="1"/>
    <xf numFmtId="3" fontId="3" fillId="0" borderId="7" xfId="1" applyNumberFormat="1" applyFont="1" applyFill="1" applyBorder="1" applyAlignment="1"/>
    <xf numFmtId="3" fontId="20" fillId="0" borderId="11" xfId="1" applyNumberFormat="1" applyFont="1" applyFill="1" applyBorder="1" applyAlignment="1"/>
    <xf numFmtId="3" fontId="3" fillId="0" borderId="7" xfId="0" applyNumberFormat="1" applyFont="1" applyFill="1" applyBorder="1" applyAlignment="1"/>
    <xf numFmtId="0" fontId="3" fillId="2" borderId="4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6" fontId="3" fillId="2" borderId="7" xfId="0" applyNumberFormat="1" applyFont="1" applyFill="1" applyBorder="1" applyAlignment="1">
      <alignment horizontal="center"/>
    </xf>
    <xf numFmtId="164" fontId="20" fillId="0" borderId="0" xfId="1" applyNumberFormat="1" applyFont="1" applyFill="1" applyBorder="1" applyAlignment="1">
      <alignment horizontal="left"/>
    </xf>
    <xf numFmtId="0" fontId="3" fillId="0" borderId="28" xfId="0" applyFont="1" applyFill="1" applyBorder="1" applyAlignment="1">
      <alignment horizontal="right"/>
    </xf>
    <xf numFmtId="169" fontId="3" fillId="0" borderId="6" xfId="5" applyNumberFormat="1" applyFont="1" applyBorder="1"/>
    <xf numFmtId="169" fontId="3" fillId="0" borderId="4" xfId="5" applyNumberFormat="1" applyFont="1" applyBorder="1"/>
    <xf numFmtId="169" fontId="3" fillId="0" borderId="5" xfId="5" applyNumberFormat="1" applyFont="1" applyBorder="1"/>
    <xf numFmtId="164" fontId="20" fillId="8" borderId="10" xfId="1" applyNumberFormat="1" applyFont="1" applyFill="1" applyBorder="1"/>
    <xf numFmtId="164" fontId="3" fillId="0" borderId="11" xfId="0" applyNumberFormat="1" applyFont="1" applyBorder="1" applyAlignment="1">
      <alignment horizontal="right"/>
    </xf>
    <xf numFmtId="0" fontId="18" fillId="0" borderId="0" xfId="0" applyFont="1" applyAlignment="1">
      <alignment horizontal="center"/>
    </xf>
    <xf numFmtId="168" fontId="3" fillId="0" borderId="7" xfId="5" applyNumberFormat="1" applyFont="1" applyFill="1" applyBorder="1" applyAlignment="1">
      <alignment horizontal="center"/>
    </xf>
    <xf numFmtId="43" fontId="3" fillId="0" borderId="0" xfId="0" applyNumberFormat="1" applyFont="1" applyFill="1" applyBorder="1" applyAlignment="1">
      <alignment horizontal="right"/>
    </xf>
    <xf numFmtId="0" fontId="1" fillId="0" borderId="7" xfId="0" applyFont="1" applyBorder="1" applyAlignment="1">
      <alignment horizontal="right"/>
    </xf>
    <xf numFmtId="164" fontId="3" fillId="0" borderId="5" xfId="0" applyNumberFormat="1" applyFont="1" applyBorder="1"/>
    <xf numFmtId="0" fontId="3" fillId="0" borderId="5" xfId="0" applyFont="1" applyFill="1" applyBorder="1"/>
    <xf numFmtId="164" fontId="20" fillId="8" borderId="11" xfId="1" applyNumberFormat="1" applyFont="1" applyFill="1" applyBorder="1"/>
    <xf numFmtId="43" fontId="20" fillId="0" borderId="7" xfId="1" applyFont="1" applyBorder="1" applyAlignment="1">
      <alignment horizontal="center"/>
    </xf>
    <xf numFmtId="9" fontId="20" fillId="0" borderId="6" xfId="5" applyNumberFormat="1" applyFont="1" applyFill="1" applyBorder="1" applyAlignment="1">
      <alignment horizontal="right"/>
    </xf>
    <xf numFmtId="43" fontId="13" fillId="0" borderId="0" xfId="1" applyFont="1" applyAlignment="1">
      <alignment horizontal="right"/>
    </xf>
    <xf numFmtId="3" fontId="20" fillId="0" borderId="7" xfId="5" applyNumberFormat="1" applyFont="1" applyFill="1" applyBorder="1" applyAlignment="1">
      <alignment horizontal="right"/>
    </xf>
    <xf numFmtId="0" fontId="0" fillId="0" borderId="0" xfId="5" applyNumberFormat="1" applyFont="1"/>
    <xf numFmtId="0" fontId="3" fillId="0" borderId="8" xfId="4" applyFont="1" applyFill="1" applyBorder="1" applyAlignment="1">
      <alignment horizontal="left" indent="1"/>
    </xf>
    <xf numFmtId="0" fontId="3" fillId="0" borderId="11" xfId="4" applyFont="1" applyFill="1" applyBorder="1" applyAlignment="1">
      <alignment horizontal="left" indent="1"/>
    </xf>
    <xf numFmtId="164" fontId="20" fillId="0" borderId="7" xfId="1" applyNumberFormat="1" applyFont="1" applyBorder="1" applyAlignment="1">
      <alignment horizontal="center"/>
    </xf>
    <xf numFmtId="164" fontId="20" fillId="0" borderId="11" xfId="0" applyNumberFormat="1" applyFont="1" applyBorder="1"/>
    <xf numFmtId="10" fontId="20" fillId="0" borderId="9" xfId="5" applyNumberFormat="1" applyFont="1" applyBorder="1"/>
    <xf numFmtId="14" fontId="3" fillId="0" borderId="0" xfId="0" applyNumberFormat="1" applyFont="1" applyFill="1" applyAlignment="1">
      <alignment horizontal="center"/>
    </xf>
    <xf numFmtId="165" fontId="3" fillId="0" borderId="0" xfId="5" applyNumberFormat="1" applyFont="1" applyFill="1"/>
    <xf numFmtId="43" fontId="3" fillId="0" borderId="0" xfId="1" applyFont="1" applyFill="1"/>
    <xf numFmtId="40" fontId="3" fillId="0" borderId="0" xfId="0" applyNumberFormat="1" applyFont="1" applyFill="1"/>
    <xf numFmtId="9" fontId="3" fillId="0" borderId="0" xfId="5" applyFont="1" applyFill="1"/>
    <xf numFmtId="174" fontId="8" fillId="0" borderId="0" xfId="0" applyNumberFormat="1" applyFont="1"/>
    <xf numFmtId="0" fontId="26" fillId="0" borderId="0" xfId="0" quotePrefix="1" applyFont="1" applyProtection="1"/>
    <xf numFmtId="0" fontId="3" fillId="0" borderId="0" xfId="0" applyFont="1" applyAlignment="1">
      <alignment horizontal="center"/>
    </xf>
    <xf numFmtId="170" fontId="3" fillId="7" borderId="22" xfId="1" applyNumberFormat="1" applyFont="1" applyFill="1" applyBorder="1" applyAlignment="1">
      <alignment horizontal="center"/>
    </xf>
    <xf numFmtId="170" fontId="3" fillId="7" borderId="24" xfId="1" applyNumberFormat="1" applyFont="1" applyFill="1" applyBorder="1" applyAlignment="1">
      <alignment horizontal="center"/>
    </xf>
    <xf numFmtId="170" fontId="3" fillId="7" borderId="26" xfId="1" applyNumberFormat="1" applyFont="1" applyFill="1" applyBorder="1" applyAlignment="1">
      <alignment horizontal="center"/>
    </xf>
    <xf numFmtId="164" fontId="3" fillId="5" borderId="23" xfId="1" applyNumberFormat="1" applyFont="1" applyFill="1" applyBorder="1" applyAlignment="1">
      <alignment horizontal="center"/>
    </xf>
    <xf numFmtId="164" fontId="3" fillId="5" borderId="25" xfId="1" applyNumberFormat="1" applyFont="1" applyFill="1" applyBorder="1" applyAlignment="1">
      <alignment horizontal="center"/>
    </xf>
    <xf numFmtId="164" fontId="3" fillId="7" borderId="27" xfId="1" applyNumberFormat="1" applyFont="1" applyFill="1" applyBorder="1" applyAlignment="1">
      <alignment horizontal="center"/>
    </xf>
    <xf numFmtId="164" fontId="3" fillId="7" borderId="12" xfId="1" applyNumberFormat="1" applyFont="1" applyFill="1" applyBorder="1" applyAlignment="1">
      <alignment horizontal="center"/>
    </xf>
    <xf numFmtId="164" fontId="3" fillId="7" borderId="15" xfId="1" applyNumberFormat="1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3" fillId="2" borderId="17" xfId="0" quotePrefix="1" applyFont="1" applyFill="1" applyBorder="1" applyAlignment="1">
      <alignment horizontal="center"/>
    </xf>
    <xf numFmtId="0" fontId="3" fillId="2" borderId="18" xfId="0" quotePrefix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19" xfId="0" quotePrefix="1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3" fillId="2" borderId="1" xfId="0" quotePrefix="1" applyFont="1" applyFill="1" applyBorder="1" applyAlignment="1">
      <alignment horizontal="center"/>
    </xf>
    <xf numFmtId="0" fontId="3" fillId="2" borderId="2" xfId="0" quotePrefix="1" applyFont="1" applyFill="1" applyBorder="1" applyAlignment="1">
      <alignment horizontal="center"/>
    </xf>
    <xf numFmtId="0" fontId="3" fillId="2" borderId="3" xfId="0" quotePrefix="1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2" borderId="8" xfId="0" quotePrefix="1" applyFont="1" applyFill="1" applyBorder="1" applyAlignment="1">
      <alignment horizontal="center"/>
    </xf>
    <xf numFmtId="0" fontId="3" fillId="2" borderId="0" xfId="0" quotePrefix="1" applyFont="1" applyFill="1" applyBorder="1" applyAlignment="1">
      <alignment horizontal="center"/>
    </xf>
    <xf numFmtId="0" fontId="3" fillId="2" borderId="7" xfId="0" quotePrefix="1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6" fontId="3" fillId="2" borderId="4" xfId="0" applyNumberFormat="1" applyFont="1" applyFill="1" applyBorder="1" applyAlignment="1">
      <alignment horizontal="center"/>
    </xf>
    <xf numFmtId="6" fontId="3" fillId="2" borderId="5" xfId="0" applyNumberFormat="1" applyFont="1" applyFill="1" applyBorder="1" applyAlignment="1">
      <alignment horizontal="center"/>
    </xf>
    <xf numFmtId="6" fontId="3" fillId="2" borderId="6" xfId="0" applyNumberFormat="1" applyFont="1" applyFill="1" applyBorder="1" applyAlignment="1">
      <alignment horizontal="center"/>
    </xf>
    <xf numFmtId="6" fontId="3" fillId="2" borderId="17" xfId="0" applyNumberFormat="1" applyFont="1" applyFill="1" applyBorder="1" applyAlignment="1">
      <alignment horizontal="center"/>
    </xf>
    <xf numFmtId="6" fontId="3" fillId="2" borderId="18" xfId="0" applyNumberFormat="1" applyFont="1" applyFill="1" applyBorder="1" applyAlignment="1">
      <alignment horizontal="center"/>
    </xf>
    <xf numFmtId="6" fontId="3" fillId="2" borderId="19" xfId="0" applyNumberFormat="1" applyFont="1" applyFill="1" applyBorder="1" applyAlignment="1">
      <alignment horizontal="center"/>
    </xf>
    <xf numFmtId="6" fontId="3" fillId="2" borderId="1" xfId="0" applyNumberFormat="1" applyFont="1" applyFill="1" applyBorder="1" applyAlignment="1">
      <alignment horizontal="center"/>
    </xf>
    <xf numFmtId="6" fontId="3" fillId="2" borderId="2" xfId="0" applyNumberFormat="1" applyFont="1" applyFill="1" applyBorder="1" applyAlignment="1">
      <alignment horizontal="center"/>
    </xf>
    <xf numFmtId="6" fontId="3" fillId="2" borderId="3" xfId="0" applyNumberFormat="1" applyFont="1" applyFill="1" applyBorder="1" applyAlignment="1">
      <alignment horizontal="center"/>
    </xf>
    <xf numFmtId="6" fontId="3" fillId="2" borderId="8" xfId="0" applyNumberFormat="1" applyFont="1" applyFill="1" applyBorder="1" applyAlignment="1">
      <alignment horizontal="center"/>
    </xf>
    <xf numFmtId="6" fontId="3" fillId="2" borderId="7" xfId="0" applyNumberFormat="1" applyFont="1" applyFill="1" applyBorder="1" applyAlignment="1">
      <alignment horizontal="center"/>
    </xf>
    <xf numFmtId="0" fontId="2" fillId="2" borderId="33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left"/>
    </xf>
    <xf numFmtId="6" fontId="2" fillId="0" borderId="0" xfId="0" applyNumberFormat="1" applyFont="1" applyBorder="1" applyAlignment="1">
      <alignment horizontal="center"/>
    </xf>
  </cellXfs>
  <cellStyles count="6">
    <cellStyle name="Comma" xfId="1" builtinId="3"/>
    <cellStyle name="Comma 2" xfId="2" xr:uid="{00000000-0005-0000-0000-000001000000}"/>
    <cellStyle name="Currency 2" xfId="3" xr:uid="{00000000-0005-0000-0000-000002000000}"/>
    <cellStyle name="Normal" xfId="0" builtinId="0"/>
    <cellStyle name="Normal 2" xfId="4" xr:uid="{00000000-0005-0000-0000-000004000000}"/>
    <cellStyle name="Percent" xfId="5" builtinId="5"/>
  </cellStyles>
  <dxfs count="0"/>
  <tableStyles count="0" defaultTableStyle="TableStyleMedium9" defaultPivotStyle="PivotStyleLight16"/>
  <colors>
    <mruColors>
      <color rgb="FF0000FF"/>
      <color rgb="FF333333"/>
      <color rgb="FF261036"/>
      <color rgb="FF00642D"/>
      <color rgb="FF008000"/>
      <color rgb="FF00823B"/>
      <color rgb="FF00FF00"/>
      <color rgb="FF009A46"/>
      <color rgb="FFFFFF00"/>
      <color rgb="FF00863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" Type="http://schemas.openxmlformats.org/officeDocument/2006/relationships/worksheet" Target="worksheets/sheet7.xml"/><Relationship Id="rId71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8">
    <tabColor theme="9" tint="-0.499984740745262"/>
    <pageSetUpPr fitToPage="1"/>
  </sheetPr>
  <dimension ref="A1:I79"/>
  <sheetViews>
    <sheetView tabSelected="1" zoomScaleNormal="100" workbookViewId="0">
      <selection activeCell="C10" sqref="C10"/>
    </sheetView>
  </sheetViews>
  <sheetFormatPr defaultColWidth="9.140625" defaultRowHeight="12.75"/>
  <cols>
    <col min="1" max="1" width="8.28515625" style="172" customWidth="1"/>
    <col min="2" max="2" width="50.5703125" style="52" customWidth="1"/>
    <col min="3" max="3" width="127.28515625" style="52" customWidth="1"/>
    <col min="4" max="4" width="10.28515625" style="193" bestFit="1" customWidth="1"/>
    <col min="5" max="5" width="9.140625" style="52"/>
    <col min="6" max="6" width="9.5703125" style="52" bestFit="1" customWidth="1"/>
    <col min="7" max="16384" width="9.140625" style="52"/>
  </cols>
  <sheetData>
    <row r="1" spans="1:9">
      <c r="A1" s="817" t="s">
        <v>523</v>
      </c>
      <c r="B1" s="817"/>
      <c r="C1" s="817"/>
      <c r="D1" s="817"/>
    </row>
    <row r="2" spans="1:9">
      <c r="A2" s="817" t="s">
        <v>525</v>
      </c>
      <c r="B2" s="817"/>
      <c r="C2" s="817"/>
      <c r="D2" s="817"/>
    </row>
    <row r="3" spans="1:9">
      <c r="A3" s="817" t="s">
        <v>540</v>
      </c>
      <c r="B3" s="817"/>
      <c r="C3" s="817"/>
      <c r="D3" s="817"/>
    </row>
    <row r="4" spans="1:9">
      <c r="A4" s="545"/>
      <c r="B4" s="545"/>
      <c r="C4" s="545"/>
    </row>
    <row r="5" spans="1:9">
      <c r="A5" s="817" t="s">
        <v>274</v>
      </c>
      <c r="B5" s="817"/>
      <c r="C5" s="817"/>
      <c r="D5" s="817"/>
    </row>
    <row r="6" spans="1:9">
      <c r="C6" s="54"/>
    </row>
    <row r="7" spans="1:9">
      <c r="A7" s="172" t="s">
        <v>89</v>
      </c>
      <c r="B7" s="31"/>
      <c r="C7" s="148"/>
      <c r="D7" s="172" t="s">
        <v>89</v>
      </c>
    </row>
    <row r="8" spans="1:9">
      <c r="A8" s="553" t="s">
        <v>275</v>
      </c>
      <c r="B8" s="554" t="s">
        <v>276</v>
      </c>
      <c r="C8" s="554" t="s">
        <v>277</v>
      </c>
      <c r="D8" s="553" t="s">
        <v>275</v>
      </c>
      <c r="F8" s="545"/>
    </row>
    <row r="9" spans="1:9">
      <c r="A9" s="553"/>
      <c r="B9" s="554"/>
      <c r="C9" s="554"/>
      <c r="D9" s="553"/>
      <c r="F9" s="545"/>
    </row>
    <row r="10" spans="1:9">
      <c r="A10" s="172">
        <v>1</v>
      </c>
      <c r="B10" s="31" t="s">
        <v>274</v>
      </c>
      <c r="C10" s="525" t="s">
        <v>278</v>
      </c>
      <c r="D10" s="172">
        <v>1</v>
      </c>
      <c r="E10" s="158"/>
      <c r="F10" s="158"/>
      <c r="G10" s="555"/>
      <c r="I10" s="158"/>
    </row>
    <row r="11" spans="1:9">
      <c r="A11" s="172">
        <f t="shared" ref="A11:A70" si="0">A10+1</f>
        <v>2</v>
      </c>
      <c r="B11" s="31" t="s">
        <v>279</v>
      </c>
      <c r="C11" s="525" t="s">
        <v>280</v>
      </c>
      <c r="D11" s="172">
        <f t="shared" ref="D11:D70" si="1">D10+1</f>
        <v>2</v>
      </c>
      <c r="E11" s="158"/>
      <c r="F11" s="158"/>
      <c r="I11" s="158"/>
    </row>
    <row r="12" spans="1:9">
      <c r="A12" s="172">
        <f t="shared" si="0"/>
        <v>3</v>
      </c>
      <c r="B12" s="31" t="s">
        <v>281</v>
      </c>
      <c r="C12" s="525" t="s">
        <v>282</v>
      </c>
      <c r="D12" s="172">
        <f t="shared" si="1"/>
        <v>3</v>
      </c>
      <c r="E12" s="158"/>
      <c r="F12" s="158"/>
      <c r="I12" s="158"/>
    </row>
    <row r="13" spans="1:9">
      <c r="A13" s="172">
        <f t="shared" si="0"/>
        <v>4</v>
      </c>
      <c r="B13" s="83" t="s">
        <v>283</v>
      </c>
      <c r="C13" s="525" t="s">
        <v>284</v>
      </c>
      <c r="D13" s="172">
        <f t="shared" si="1"/>
        <v>4</v>
      </c>
      <c r="E13" s="158"/>
      <c r="F13" s="158"/>
      <c r="G13" s="158"/>
      <c r="I13" s="158"/>
    </row>
    <row r="14" spans="1:9">
      <c r="A14" s="172">
        <f t="shared" si="0"/>
        <v>5</v>
      </c>
      <c r="B14" s="83" t="s">
        <v>285</v>
      </c>
      <c r="C14" s="525" t="s">
        <v>463</v>
      </c>
      <c r="D14" s="172">
        <f t="shared" si="1"/>
        <v>5</v>
      </c>
      <c r="E14" s="158"/>
      <c r="F14" s="158"/>
      <c r="G14" s="158"/>
      <c r="I14" s="158"/>
    </row>
    <row r="15" spans="1:9">
      <c r="A15" s="172">
        <f t="shared" si="0"/>
        <v>6</v>
      </c>
      <c r="B15" s="83" t="s">
        <v>286</v>
      </c>
      <c r="C15" s="525" t="s">
        <v>287</v>
      </c>
      <c r="D15" s="172">
        <f t="shared" si="1"/>
        <v>6</v>
      </c>
      <c r="E15" s="158"/>
      <c r="F15" s="158"/>
      <c r="G15" s="158"/>
      <c r="I15" s="158"/>
    </row>
    <row r="16" spans="1:9">
      <c r="A16" s="172">
        <f t="shared" si="0"/>
        <v>7</v>
      </c>
      <c r="B16" s="83" t="s">
        <v>529</v>
      </c>
      <c r="C16" s="525" t="s">
        <v>530</v>
      </c>
      <c r="D16" s="172">
        <f t="shared" si="1"/>
        <v>7</v>
      </c>
      <c r="E16" s="158"/>
      <c r="F16" s="158"/>
      <c r="G16" s="158"/>
      <c r="I16" s="158"/>
    </row>
    <row r="17" spans="1:9">
      <c r="A17" s="172">
        <f t="shared" si="0"/>
        <v>8</v>
      </c>
      <c r="B17" s="83" t="s">
        <v>288</v>
      </c>
      <c r="C17" s="525" t="s">
        <v>366</v>
      </c>
      <c r="D17" s="172">
        <f t="shared" si="1"/>
        <v>8</v>
      </c>
      <c r="E17" s="158"/>
      <c r="F17" s="158"/>
      <c r="G17" s="158"/>
      <c r="I17" s="158"/>
    </row>
    <row r="18" spans="1:9">
      <c r="A18" s="172">
        <f t="shared" si="0"/>
        <v>9</v>
      </c>
      <c r="B18" s="83" t="s">
        <v>367</v>
      </c>
      <c r="C18" s="525" t="s">
        <v>289</v>
      </c>
      <c r="D18" s="172">
        <f t="shared" si="1"/>
        <v>9</v>
      </c>
      <c r="E18" s="158"/>
      <c r="F18" s="158"/>
      <c r="G18" s="158"/>
      <c r="I18" s="158"/>
    </row>
    <row r="19" spans="1:9">
      <c r="A19" s="172">
        <f t="shared" si="0"/>
        <v>10</v>
      </c>
      <c r="B19" s="83" t="s">
        <v>290</v>
      </c>
      <c r="C19" s="525" t="s">
        <v>493</v>
      </c>
      <c r="D19" s="172">
        <f t="shared" si="1"/>
        <v>10</v>
      </c>
      <c r="E19" s="158"/>
      <c r="F19" s="158"/>
      <c r="G19" s="158"/>
      <c r="I19" s="158"/>
    </row>
    <row r="20" spans="1:9">
      <c r="A20" s="172">
        <f t="shared" si="0"/>
        <v>11</v>
      </c>
      <c r="B20" s="83" t="s">
        <v>291</v>
      </c>
      <c r="C20" s="525" t="s">
        <v>292</v>
      </c>
      <c r="D20" s="172">
        <f t="shared" si="1"/>
        <v>11</v>
      </c>
      <c r="E20" s="158"/>
      <c r="F20" s="158"/>
      <c r="G20" s="158"/>
      <c r="I20" s="158"/>
    </row>
    <row r="21" spans="1:9">
      <c r="A21" s="172">
        <f t="shared" si="0"/>
        <v>12</v>
      </c>
      <c r="B21" s="83" t="s">
        <v>293</v>
      </c>
      <c r="C21" s="525" t="s">
        <v>294</v>
      </c>
      <c r="D21" s="172">
        <f t="shared" si="1"/>
        <v>12</v>
      </c>
      <c r="E21" s="158"/>
      <c r="F21" s="158"/>
      <c r="G21" s="158"/>
      <c r="I21" s="158"/>
    </row>
    <row r="22" spans="1:9">
      <c r="A22" s="172">
        <f t="shared" si="0"/>
        <v>13</v>
      </c>
      <c r="B22" s="83" t="s">
        <v>295</v>
      </c>
      <c r="C22" s="525" t="s">
        <v>296</v>
      </c>
      <c r="D22" s="172">
        <f t="shared" si="1"/>
        <v>13</v>
      </c>
      <c r="E22" s="158"/>
      <c r="F22" s="158"/>
      <c r="G22" s="158"/>
      <c r="I22" s="158"/>
    </row>
    <row r="23" spans="1:9">
      <c r="A23" s="172">
        <f t="shared" si="0"/>
        <v>14</v>
      </c>
      <c r="B23" s="83" t="s">
        <v>297</v>
      </c>
      <c r="C23" s="525" t="s">
        <v>298</v>
      </c>
      <c r="D23" s="172">
        <f t="shared" si="1"/>
        <v>14</v>
      </c>
      <c r="E23" s="158"/>
      <c r="F23" s="158"/>
      <c r="G23" s="158"/>
      <c r="I23" s="158"/>
    </row>
    <row r="24" spans="1:9">
      <c r="A24" s="172">
        <f t="shared" si="0"/>
        <v>15</v>
      </c>
      <c r="B24" s="83" t="s">
        <v>299</v>
      </c>
      <c r="C24" s="525" t="s">
        <v>300</v>
      </c>
      <c r="D24" s="172">
        <f t="shared" si="1"/>
        <v>15</v>
      </c>
      <c r="E24" s="158"/>
      <c r="F24" s="158"/>
      <c r="G24" s="158"/>
      <c r="I24" s="158"/>
    </row>
    <row r="25" spans="1:9">
      <c r="A25" s="172">
        <f t="shared" si="0"/>
        <v>16</v>
      </c>
      <c r="B25" s="83" t="s">
        <v>301</v>
      </c>
      <c r="C25" s="525" t="s">
        <v>302</v>
      </c>
      <c r="D25" s="172">
        <f t="shared" si="1"/>
        <v>16</v>
      </c>
      <c r="E25" s="158"/>
      <c r="F25" s="158"/>
      <c r="G25" s="158"/>
      <c r="I25" s="158"/>
    </row>
    <row r="26" spans="1:9">
      <c r="A26" s="172">
        <f t="shared" si="0"/>
        <v>17</v>
      </c>
      <c r="B26" s="83" t="s">
        <v>409</v>
      </c>
      <c r="C26" s="525" t="s">
        <v>410</v>
      </c>
      <c r="D26" s="172">
        <f t="shared" si="1"/>
        <v>17</v>
      </c>
      <c r="E26" s="158"/>
      <c r="F26" s="158"/>
      <c r="G26" s="158"/>
      <c r="I26" s="158"/>
    </row>
    <row r="27" spans="1:9">
      <c r="A27" s="172">
        <f t="shared" si="0"/>
        <v>18</v>
      </c>
      <c r="B27" s="83" t="s">
        <v>303</v>
      </c>
      <c r="C27" s="525" t="s">
        <v>304</v>
      </c>
      <c r="D27" s="172">
        <f t="shared" si="1"/>
        <v>18</v>
      </c>
      <c r="E27" s="158"/>
      <c r="F27" s="158"/>
      <c r="G27" s="158"/>
      <c r="I27" s="158"/>
    </row>
    <row r="28" spans="1:9">
      <c r="A28" s="172">
        <f t="shared" si="0"/>
        <v>19</v>
      </c>
      <c r="B28" s="83" t="s">
        <v>305</v>
      </c>
      <c r="C28" s="525" t="s">
        <v>306</v>
      </c>
      <c r="D28" s="172">
        <f t="shared" si="1"/>
        <v>19</v>
      </c>
      <c r="E28" s="158"/>
      <c r="F28" s="158"/>
      <c r="G28" s="555"/>
      <c r="I28" s="158"/>
    </row>
    <row r="29" spans="1:9">
      <c r="A29" s="172">
        <f t="shared" si="0"/>
        <v>20</v>
      </c>
      <c r="B29" s="83" t="s">
        <v>307</v>
      </c>
      <c r="C29" s="525" t="s">
        <v>308</v>
      </c>
      <c r="D29" s="172">
        <f t="shared" si="1"/>
        <v>20</v>
      </c>
      <c r="E29" s="158"/>
      <c r="F29" s="158"/>
      <c r="I29" s="158"/>
    </row>
    <row r="30" spans="1:9">
      <c r="A30" s="172">
        <f t="shared" si="0"/>
        <v>21</v>
      </c>
      <c r="B30" s="83" t="s">
        <v>531</v>
      </c>
      <c r="C30" s="525" t="s">
        <v>464</v>
      </c>
      <c r="D30" s="172">
        <f t="shared" si="1"/>
        <v>21</v>
      </c>
      <c r="E30" s="158"/>
      <c r="F30" s="158"/>
      <c r="I30" s="158"/>
    </row>
    <row r="31" spans="1:9">
      <c r="A31" s="172">
        <f t="shared" si="0"/>
        <v>22</v>
      </c>
      <c r="B31" s="83" t="s">
        <v>532</v>
      </c>
      <c r="C31" s="525" t="s">
        <v>309</v>
      </c>
      <c r="D31" s="172">
        <f t="shared" si="1"/>
        <v>22</v>
      </c>
      <c r="E31" s="158"/>
      <c r="F31" s="158"/>
      <c r="I31" s="158"/>
    </row>
    <row r="32" spans="1:9">
      <c r="A32" s="172">
        <f t="shared" si="0"/>
        <v>23</v>
      </c>
      <c r="B32" s="83" t="s">
        <v>533</v>
      </c>
      <c r="C32" s="525" t="s">
        <v>494</v>
      </c>
      <c r="D32" s="172">
        <f t="shared" si="1"/>
        <v>23</v>
      </c>
      <c r="E32" s="158"/>
      <c r="F32" s="158"/>
      <c r="I32" s="158"/>
    </row>
    <row r="33" spans="1:9">
      <c r="A33" s="172">
        <f t="shared" si="0"/>
        <v>24</v>
      </c>
      <c r="B33" s="83" t="s">
        <v>415</v>
      </c>
      <c r="C33" s="525" t="s">
        <v>418</v>
      </c>
      <c r="D33" s="172">
        <f t="shared" si="1"/>
        <v>24</v>
      </c>
      <c r="E33" s="158"/>
      <c r="F33" s="158"/>
      <c r="I33" s="158"/>
    </row>
    <row r="34" spans="1:9">
      <c r="A34" s="172">
        <f t="shared" si="0"/>
        <v>25</v>
      </c>
      <c r="B34" s="83" t="s">
        <v>416</v>
      </c>
      <c r="C34" s="525" t="s">
        <v>419</v>
      </c>
      <c r="D34" s="172">
        <f t="shared" si="1"/>
        <v>25</v>
      </c>
      <c r="E34" s="158"/>
      <c r="F34" s="158"/>
      <c r="I34" s="158"/>
    </row>
    <row r="35" spans="1:9">
      <c r="A35" s="172">
        <f t="shared" si="0"/>
        <v>26</v>
      </c>
      <c r="B35" s="83" t="s">
        <v>417</v>
      </c>
      <c r="C35" s="525" t="s">
        <v>495</v>
      </c>
      <c r="D35" s="172">
        <f t="shared" si="1"/>
        <v>26</v>
      </c>
      <c r="E35" s="158"/>
      <c r="F35" s="158"/>
      <c r="I35" s="158"/>
    </row>
    <row r="36" spans="1:9">
      <c r="A36" s="172">
        <f t="shared" si="0"/>
        <v>27</v>
      </c>
      <c r="B36" s="83" t="s">
        <v>310</v>
      </c>
      <c r="C36" s="525" t="s">
        <v>311</v>
      </c>
      <c r="D36" s="172">
        <f t="shared" si="1"/>
        <v>27</v>
      </c>
      <c r="E36" s="158"/>
      <c r="F36" s="158"/>
      <c r="I36" s="158"/>
    </row>
    <row r="37" spans="1:9">
      <c r="A37" s="172">
        <f t="shared" si="0"/>
        <v>28</v>
      </c>
      <c r="B37" s="83" t="s">
        <v>312</v>
      </c>
      <c r="C37" s="525" t="s">
        <v>313</v>
      </c>
      <c r="D37" s="172">
        <f t="shared" si="1"/>
        <v>28</v>
      </c>
      <c r="E37" s="158"/>
      <c r="F37" s="158"/>
      <c r="I37" s="158"/>
    </row>
    <row r="38" spans="1:9">
      <c r="A38" s="172">
        <f t="shared" si="0"/>
        <v>29</v>
      </c>
      <c r="B38" s="83" t="s">
        <v>314</v>
      </c>
      <c r="C38" s="525" t="s">
        <v>496</v>
      </c>
      <c r="D38" s="172">
        <f t="shared" si="1"/>
        <v>29</v>
      </c>
      <c r="E38" s="158"/>
      <c r="F38" s="158"/>
      <c r="I38" s="158"/>
    </row>
    <row r="39" spans="1:9">
      <c r="A39" s="172">
        <f t="shared" si="0"/>
        <v>30</v>
      </c>
      <c r="B39" s="83" t="s">
        <v>315</v>
      </c>
      <c r="C39" s="525" t="s">
        <v>316</v>
      </c>
      <c r="D39" s="172">
        <f t="shared" si="1"/>
        <v>30</v>
      </c>
      <c r="E39" s="158"/>
      <c r="F39" s="158"/>
      <c r="I39" s="158"/>
    </row>
    <row r="40" spans="1:9">
      <c r="A40" s="172">
        <f t="shared" si="0"/>
        <v>31</v>
      </c>
      <c r="B40" s="83" t="s">
        <v>317</v>
      </c>
      <c r="C40" s="525" t="s">
        <v>318</v>
      </c>
      <c r="D40" s="172">
        <f t="shared" si="1"/>
        <v>31</v>
      </c>
      <c r="E40" s="158"/>
      <c r="F40" s="158"/>
      <c r="I40" s="158"/>
    </row>
    <row r="41" spans="1:9">
      <c r="A41" s="172">
        <f t="shared" si="0"/>
        <v>32</v>
      </c>
      <c r="B41" s="83" t="s">
        <v>319</v>
      </c>
      <c r="C41" s="525" t="s">
        <v>497</v>
      </c>
      <c r="D41" s="172">
        <f t="shared" si="1"/>
        <v>32</v>
      </c>
      <c r="E41" s="158"/>
      <c r="F41" s="158"/>
      <c r="I41" s="158"/>
    </row>
    <row r="42" spans="1:9">
      <c r="A42" s="172">
        <f t="shared" si="0"/>
        <v>33</v>
      </c>
      <c r="B42" s="83" t="s">
        <v>320</v>
      </c>
      <c r="C42" s="525" t="s">
        <v>321</v>
      </c>
      <c r="D42" s="172">
        <f t="shared" si="1"/>
        <v>33</v>
      </c>
      <c r="E42" s="158"/>
      <c r="F42" s="158"/>
      <c r="I42" s="158"/>
    </row>
    <row r="43" spans="1:9">
      <c r="A43" s="172">
        <f t="shared" si="0"/>
        <v>34</v>
      </c>
      <c r="B43" s="83" t="s">
        <v>322</v>
      </c>
      <c r="C43" s="525" t="s">
        <v>323</v>
      </c>
      <c r="D43" s="172">
        <f t="shared" si="1"/>
        <v>34</v>
      </c>
      <c r="E43" s="158"/>
      <c r="F43" s="158"/>
      <c r="I43" s="158"/>
    </row>
    <row r="44" spans="1:9">
      <c r="A44" s="172">
        <f t="shared" si="0"/>
        <v>35</v>
      </c>
      <c r="B44" s="83" t="s">
        <v>324</v>
      </c>
      <c r="C44" s="525" t="s">
        <v>498</v>
      </c>
      <c r="D44" s="172">
        <f t="shared" si="1"/>
        <v>35</v>
      </c>
      <c r="E44" s="158"/>
      <c r="F44" s="158"/>
      <c r="I44" s="158"/>
    </row>
    <row r="45" spans="1:9">
      <c r="A45" s="172">
        <f t="shared" si="0"/>
        <v>36</v>
      </c>
      <c r="B45" s="83" t="s">
        <v>325</v>
      </c>
      <c r="C45" s="525" t="s">
        <v>326</v>
      </c>
      <c r="D45" s="172">
        <f t="shared" si="1"/>
        <v>36</v>
      </c>
      <c r="E45" s="158"/>
      <c r="F45" s="158"/>
      <c r="G45" s="556"/>
      <c r="I45" s="158"/>
    </row>
    <row r="46" spans="1:9">
      <c r="A46" s="172">
        <f t="shared" si="0"/>
        <v>37</v>
      </c>
      <c r="B46" s="83" t="s">
        <v>368</v>
      </c>
      <c r="C46" s="525" t="s">
        <v>499</v>
      </c>
      <c r="D46" s="172">
        <f t="shared" si="1"/>
        <v>37</v>
      </c>
      <c r="E46" s="158"/>
      <c r="F46" s="158"/>
      <c r="I46" s="158"/>
    </row>
    <row r="47" spans="1:9">
      <c r="A47" s="172">
        <f t="shared" si="0"/>
        <v>38</v>
      </c>
      <c r="B47" s="83" t="s">
        <v>327</v>
      </c>
      <c r="C47" s="525" t="s">
        <v>465</v>
      </c>
      <c r="D47" s="172">
        <f t="shared" si="1"/>
        <v>38</v>
      </c>
      <c r="E47" s="158"/>
      <c r="F47" s="158"/>
      <c r="I47" s="158"/>
    </row>
    <row r="48" spans="1:9">
      <c r="A48" s="172">
        <f t="shared" si="0"/>
        <v>39</v>
      </c>
      <c r="B48" s="83" t="s">
        <v>328</v>
      </c>
      <c r="C48" s="525" t="s">
        <v>329</v>
      </c>
      <c r="D48" s="172">
        <f t="shared" si="1"/>
        <v>39</v>
      </c>
      <c r="E48" s="158"/>
      <c r="F48" s="158"/>
      <c r="I48" s="158"/>
    </row>
    <row r="49" spans="1:9">
      <c r="A49" s="172">
        <f t="shared" si="0"/>
        <v>40</v>
      </c>
      <c r="B49" s="83" t="s">
        <v>330</v>
      </c>
      <c r="C49" s="525" t="s">
        <v>331</v>
      </c>
      <c r="D49" s="172">
        <f t="shared" si="1"/>
        <v>40</v>
      </c>
      <c r="E49" s="158"/>
      <c r="F49" s="158"/>
      <c r="I49" s="158"/>
    </row>
    <row r="50" spans="1:9">
      <c r="A50" s="172">
        <f t="shared" si="0"/>
        <v>41</v>
      </c>
      <c r="B50" s="83" t="s">
        <v>332</v>
      </c>
      <c r="C50" s="525" t="s">
        <v>500</v>
      </c>
      <c r="D50" s="172">
        <f t="shared" si="1"/>
        <v>41</v>
      </c>
      <c r="E50" s="158"/>
      <c r="F50" s="158"/>
      <c r="I50" s="158"/>
    </row>
    <row r="51" spans="1:9">
      <c r="A51" s="172">
        <f t="shared" si="0"/>
        <v>42</v>
      </c>
      <c r="B51" s="83" t="s">
        <v>333</v>
      </c>
      <c r="C51" s="525" t="s">
        <v>466</v>
      </c>
      <c r="D51" s="172">
        <f t="shared" si="1"/>
        <v>42</v>
      </c>
      <c r="E51" s="158"/>
      <c r="F51" s="158"/>
      <c r="I51" s="158"/>
    </row>
    <row r="52" spans="1:9">
      <c r="A52" s="172">
        <f t="shared" si="0"/>
        <v>43</v>
      </c>
      <c r="B52" s="83" t="s">
        <v>334</v>
      </c>
      <c r="C52" s="525" t="s">
        <v>335</v>
      </c>
      <c r="D52" s="172">
        <f t="shared" si="1"/>
        <v>43</v>
      </c>
      <c r="E52" s="158"/>
      <c r="F52" s="158"/>
      <c r="G52" s="556"/>
      <c r="I52" s="158"/>
    </row>
    <row r="53" spans="1:9">
      <c r="A53" s="172">
        <f t="shared" si="0"/>
        <v>44</v>
      </c>
      <c r="B53" s="83" t="s">
        <v>336</v>
      </c>
      <c r="C53" s="525" t="s">
        <v>337</v>
      </c>
      <c r="D53" s="172">
        <f t="shared" si="1"/>
        <v>44</v>
      </c>
      <c r="E53" s="158"/>
      <c r="F53" s="158"/>
      <c r="I53" s="158"/>
    </row>
    <row r="54" spans="1:9">
      <c r="A54" s="172">
        <f t="shared" si="0"/>
        <v>45</v>
      </c>
      <c r="B54" s="83" t="s">
        <v>338</v>
      </c>
      <c r="C54" s="525" t="s">
        <v>501</v>
      </c>
      <c r="D54" s="172">
        <f t="shared" si="1"/>
        <v>45</v>
      </c>
      <c r="E54" s="158"/>
      <c r="F54" s="158"/>
      <c r="I54" s="158"/>
    </row>
    <row r="55" spans="1:9">
      <c r="A55" s="172">
        <f t="shared" si="0"/>
        <v>46</v>
      </c>
      <c r="B55" s="83" t="s">
        <v>339</v>
      </c>
      <c r="C55" s="525" t="s">
        <v>467</v>
      </c>
      <c r="D55" s="172">
        <f t="shared" si="1"/>
        <v>46</v>
      </c>
      <c r="E55" s="158"/>
      <c r="F55" s="158"/>
      <c r="I55" s="158"/>
    </row>
    <row r="56" spans="1:9">
      <c r="A56" s="172">
        <f t="shared" si="0"/>
        <v>47</v>
      </c>
      <c r="B56" s="83" t="s">
        <v>340</v>
      </c>
      <c r="C56" s="525" t="s">
        <v>341</v>
      </c>
      <c r="D56" s="172">
        <f t="shared" si="1"/>
        <v>47</v>
      </c>
      <c r="E56" s="158"/>
      <c r="F56" s="158"/>
      <c r="I56" s="158"/>
    </row>
    <row r="57" spans="1:9">
      <c r="A57" s="172">
        <f t="shared" si="0"/>
        <v>48</v>
      </c>
      <c r="B57" s="83" t="s">
        <v>342</v>
      </c>
      <c r="C57" s="525" t="s">
        <v>343</v>
      </c>
      <c r="D57" s="172">
        <f t="shared" si="1"/>
        <v>48</v>
      </c>
      <c r="E57" s="158"/>
      <c r="F57" s="158"/>
      <c r="I57" s="158"/>
    </row>
    <row r="58" spans="1:9">
      <c r="A58" s="172">
        <f t="shared" si="0"/>
        <v>49</v>
      </c>
      <c r="B58" s="83" t="s">
        <v>344</v>
      </c>
      <c r="C58" s="525" t="s">
        <v>502</v>
      </c>
      <c r="D58" s="172">
        <f t="shared" si="1"/>
        <v>49</v>
      </c>
      <c r="E58" s="158"/>
      <c r="F58" s="158"/>
      <c r="I58" s="158"/>
    </row>
    <row r="59" spans="1:9">
      <c r="A59" s="172">
        <f t="shared" si="0"/>
        <v>50</v>
      </c>
      <c r="B59" s="83" t="s">
        <v>345</v>
      </c>
      <c r="C59" s="525" t="s">
        <v>468</v>
      </c>
      <c r="D59" s="172">
        <f t="shared" si="1"/>
        <v>50</v>
      </c>
    </row>
    <row r="60" spans="1:9">
      <c r="A60" s="172">
        <f t="shared" si="0"/>
        <v>51</v>
      </c>
      <c r="B60" s="83" t="s">
        <v>346</v>
      </c>
      <c r="C60" s="525" t="s">
        <v>347</v>
      </c>
      <c r="D60" s="172">
        <f t="shared" si="1"/>
        <v>51</v>
      </c>
    </row>
    <row r="61" spans="1:9">
      <c r="A61" s="172">
        <f t="shared" si="0"/>
        <v>52</v>
      </c>
      <c r="B61" s="83" t="s">
        <v>348</v>
      </c>
      <c r="C61" s="525" t="s">
        <v>349</v>
      </c>
      <c r="D61" s="172">
        <f t="shared" si="1"/>
        <v>52</v>
      </c>
    </row>
    <row r="62" spans="1:9">
      <c r="A62" s="172">
        <f t="shared" si="0"/>
        <v>53</v>
      </c>
      <c r="B62" s="83" t="s">
        <v>350</v>
      </c>
      <c r="C62" s="525" t="s">
        <v>503</v>
      </c>
      <c r="D62" s="172">
        <f t="shared" si="1"/>
        <v>53</v>
      </c>
    </row>
    <row r="63" spans="1:9">
      <c r="A63" s="172">
        <f t="shared" si="0"/>
        <v>54</v>
      </c>
      <c r="B63" s="83" t="s">
        <v>534</v>
      </c>
      <c r="C63" s="525" t="s">
        <v>351</v>
      </c>
      <c r="D63" s="172">
        <f t="shared" si="1"/>
        <v>54</v>
      </c>
    </row>
    <row r="64" spans="1:9">
      <c r="A64" s="172">
        <f t="shared" si="0"/>
        <v>55</v>
      </c>
      <c r="B64" s="83" t="s">
        <v>535</v>
      </c>
      <c r="C64" s="525" t="s">
        <v>504</v>
      </c>
      <c r="D64" s="172">
        <f t="shared" si="1"/>
        <v>55</v>
      </c>
    </row>
    <row r="65" spans="1:4">
      <c r="A65" s="172">
        <f t="shared" si="0"/>
        <v>56</v>
      </c>
      <c r="B65" s="83" t="s">
        <v>352</v>
      </c>
      <c r="C65" s="525" t="s">
        <v>469</v>
      </c>
      <c r="D65" s="172">
        <f t="shared" si="1"/>
        <v>56</v>
      </c>
    </row>
    <row r="66" spans="1:4">
      <c r="A66" s="172">
        <f t="shared" si="0"/>
        <v>57</v>
      </c>
      <c r="B66" s="83" t="s">
        <v>353</v>
      </c>
      <c r="C66" s="525" t="s">
        <v>354</v>
      </c>
      <c r="D66" s="172">
        <f t="shared" si="1"/>
        <v>57</v>
      </c>
    </row>
    <row r="67" spans="1:4">
      <c r="A67" s="172">
        <f t="shared" si="0"/>
        <v>58</v>
      </c>
      <c r="B67" s="83" t="s">
        <v>355</v>
      </c>
      <c r="C67" s="525" t="s">
        <v>356</v>
      </c>
      <c r="D67" s="172">
        <f t="shared" si="1"/>
        <v>58</v>
      </c>
    </row>
    <row r="68" spans="1:4">
      <c r="A68" s="172">
        <f t="shared" si="0"/>
        <v>59</v>
      </c>
      <c r="B68" s="83" t="s">
        <v>357</v>
      </c>
      <c r="C68" s="525" t="s">
        <v>505</v>
      </c>
      <c r="D68" s="172">
        <f t="shared" si="1"/>
        <v>59</v>
      </c>
    </row>
    <row r="69" spans="1:4">
      <c r="A69" s="172">
        <f t="shared" si="0"/>
        <v>60</v>
      </c>
      <c r="B69" s="83" t="s">
        <v>471</v>
      </c>
      <c r="C69" s="525" t="s">
        <v>470</v>
      </c>
      <c r="D69" s="172">
        <f t="shared" si="1"/>
        <v>60</v>
      </c>
    </row>
    <row r="70" spans="1:4">
      <c r="A70" s="172">
        <f t="shared" si="0"/>
        <v>61</v>
      </c>
      <c r="B70" s="83" t="s">
        <v>420</v>
      </c>
      <c r="C70" s="525" t="s">
        <v>423</v>
      </c>
      <c r="D70" s="172">
        <f t="shared" si="1"/>
        <v>61</v>
      </c>
    </row>
    <row r="71" spans="1:4">
      <c r="A71" s="172">
        <f t="shared" ref="A71:A79" si="2">A70+1</f>
        <v>62</v>
      </c>
      <c r="B71" s="83" t="s">
        <v>421</v>
      </c>
      <c r="C71" s="525" t="s">
        <v>424</v>
      </c>
      <c r="D71" s="172">
        <f t="shared" ref="D71:D79" si="3">D70+1</f>
        <v>62</v>
      </c>
    </row>
    <row r="72" spans="1:4">
      <c r="A72" s="172">
        <f t="shared" si="2"/>
        <v>63</v>
      </c>
      <c r="B72" s="83" t="s">
        <v>422</v>
      </c>
      <c r="C72" s="525" t="s">
        <v>506</v>
      </c>
      <c r="D72" s="172">
        <f t="shared" si="3"/>
        <v>63</v>
      </c>
    </row>
    <row r="73" spans="1:4">
      <c r="A73" s="172">
        <f t="shared" si="2"/>
        <v>64</v>
      </c>
      <c r="B73" s="83" t="s">
        <v>475</v>
      </c>
      <c r="C73" s="525" t="s">
        <v>507</v>
      </c>
      <c r="D73" s="172">
        <f t="shared" si="3"/>
        <v>64</v>
      </c>
    </row>
    <row r="74" spans="1:4">
      <c r="A74" s="172">
        <f t="shared" si="2"/>
        <v>65</v>
      </c>
      <c r="B74" s="83" t="s">
        <v>358</v>
      </c>
      <c r="C74" s="525" t="s">
        <v>359</v>
      </c>
      <c r="D74" s="172">
        <f t="shared" si="3"/>
        <v>65</v>
      </c>
    </row>
    <row r="75" spans="1:4">
      <c r="A75" s="172">
        <f t="shared" si="2"/>
        <v>66</v>
      </c>
      <c r="B75" s="83" t="s">
        <v>536</v>
      </c>
      <c r="C75" s="525" t="s">
        <v>537</v>
      </c>
      <c r="D75" s="172">
        <f t="shared" si="3"/>
        <v>66</v>
      </c>
    </row>
    <row r="76" spans="1:4">
      <c r="A76" s="172">
        <f t="shared" si="2"/>
        <v>67</v>
      </c>
      <c r="B76" s="83" t="s">
        <v>538</v>
      </c>
      <c r="C76" s="52" t="s">
        <v>472</v>
      </c>
      <c r="D76" s="172">
        <f t="shared" si="3"/>
        <v>67</v>
      </c>
    </row>
    <row r="77" spans="1:4">
      <c r="A77" s="172">
        <f t="shared" si="2"/>
        <v>68</v>
      </c>
      <c r="B77" s="83" t="s">
        <v>360</v>
      </c>
      <c r="C77" s="52" t="s">
        <v>361</v>
      </c>
      <c r="D77" s="172">
        <f t="shared" si="3"/>
        <v>68</v>
      </c>
    </row>
    <row r="78" spans="1:4">
      <c r="A78" s="172">
        <f t="shared" si="2"/>
        <v>69</v>
      </c>
      <c r="B78" s="52" t="s">
        <v>362</v>
      </c>
      <c r="C78" s="525" t="s">
        <v>363</v>
      </c>
      <c r="D78" s="172">
        <f t="shared" si="3"/>
        <v>69</v>
      </c>
    </row>
    <row r="79" spans="1:4">
      <c r="A79" s="172">
        <f t="shared" si="2"/>
        <v>70</v>
      </c>
      <c r="B79" s="52" t="s">
        <v>364</v>
      </c>
      <c r="C79" s="52" t="s">
        <v>365</v>
      </c>
      <c r="D79" s="172">
        <f t="shared" si="3"/>
        <v>70</v>
      </c>
    </row>
  </sheetData>
  <mergeCells count="4">
    <mergeCell ref="A1:D1"/>
    <mergeCell ref="A2:D2"/>
    <mergeCell ref="A3:D3"/>
    <mergeCell ref="A5:D5"/>
  </mergeCells>
  <printOptions horizontalCentered="1"/>
  <pageMargins left="0.75" right="0.75" top="1" bottom="1" header="0.5" footer="0.5"/>
  <pageSetup scale="47" orientation="portrait" r:id="rId1"/>
  <headerFooter alignWithMargins="0">
    <oddFooter>&amp;L&amp;F
&amp;A&amp;R&amp;P of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7">
    <tabColor rgb="FFC00000"/>
    <pageSetUpPr fitToPage="1"/>
  </sheetPr>
  <dimension ref="A1:N61"/>
  <sheetViews>
    <sheetView zoomScaleNormal="100" workbookViewId="0">
      <selection activeCell="I13" sqref="I13"/>
    </sheetView>
  </sheetViews>
  <sheetFormatPr defaultRowHeight="12.75"/>
  <cols>
    <col min="1" max="1" width="40.7109375" customWidth="1"/>
    <col min="2" max="12" width="10.28515625" customWidth="1"/>
    <col min="13" max="13" width="15" bestFit="1" customWidth="1"/>
  </cols>
  <sheetData>
    <row r="1" spans="1:14" ht="18.75" thickBot="1">
      <c r="A1" s="841" t="s">
        <v>403</v>
      </c>
      <c r="B1" s="841"/>
      <c r="C1" s="841"/>
      <c r="D1" s="841"/>
      <c r="E1" s="841"/>
      <c r="F1" s="841"/>
      <c r="G1" s="841"/>
      <c r="H1" s="841"/>
      <c r="I1" s="841"/>
      <c r="J1" s="841"/>
      <c r="K1" s="841"/>
      <c r="L1" s="841"/>
    </row>
    <row r="2" spans="1:14">
      <c r="A2" s="742"/>
      <c r="B2" s="740"/>
      <c r="C2" s="740"/>
      <c r="D2" s="740"/>
      <c r="E2" s="740"/>
      <c r="F2" s="740"/>
      <c r="G2" s="740"/>
      <c r="H2" s="740"/>
      <c r="I2" s="740"/>
      <c r="J2" s="740"/>
      <c r="K2" s="740"/>
      <c r="L2" s="741"/>
    </row>
    <row r="3" spans="1:14" ht="13.5" thickBot="1">
      <c r="A3" s="743" t="s">
        <v>47</v>
      </c>
      <c r="B3" s="744" t="s">
        <v>28</v>
      </c>
      <c r="C3" s="744" t="s">
        <v>29</v>
      </c>
      <c r="D3" s="744" t="s">
        <v>30</v>
      </c>
      <c r="E3" s="744" t="s">
        <v>31</v>
      </c>
      <c r="F3" s="744" t="s">
        <v>75</v>
      </c>
      <c r="G3" s="744" t="s">
        <v>73</v>
      </c>
      <c r="H3" s="744" t="s">
        <v>392</v>
      </c>
      <c r="I3" s="744" t="s">
        <v>74</v>
      </c>
      <c r="J3" s="744" t="s">
        <v>105</v>
      </c>
      <c r="K3" s="744" t="s">
        <v>104</v>
      </c>
      <c r="L3" s="745" t="s">
        <v>48</v>
      </c>
    </row>
    <row r="4" spans="1:14">
      <c r="A4" s="39"/>
      <c r="B4" s="6"/>
      <c r="C4" s="6"/>
      <c r="D4" s="6"/>
      <c r="E4" s="6"/>
      <c r="F4" s="6"/>
      <c r="G4" s="6"/>
      <c r="H4" s="6"/>
      <c r="I4" s="6"/>
      <c r="J4" s="6"/>
      <c r="K4" s="6"/>
      <c r="L4" s="7"/>
    </row>
    <row r="5" spans="1:14">
      <c r="A5" s="40"/>
      <c r="B5" s="8"/>
      <c r="C5" s="8"/>
      <c r="D5" s="8"/>
      <c r="E5" s="8"/>
      <c r="F5" s="8"/>
      <c r="G5" s="8"/>
      <c r="H5" s="8"/>
      <c r="I5" s="8"/>
      <c r="J5" s="8"/>
      <c r="K5" s="8"/>
      <c r="L5" s="9"/>
    </row>
    <row r="6" spans="1:14">
      <c r="A6" s="40" t="s">
        <v>49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44"/>
    </row>
    <row r="7" spans="1:14">
      <c r="A7" s="41"/>
      <c r="B7" s="34"/>
      <c r="C7" s="34"/>
      <c r="D7" s="34"/>
      <c r="E7" s="34"/>
      <c r="F7" s="34"/>
      <c r="G7" s="34"/>
      <c r="H7" s="34"/>
      <c r="I7" s="34"/>
      <c r="J7" s="34"/>
      <c r="K7" s="34"/>
      <c r="L7" s="44"/>
      <c r="M7" s="357" t="s">
        <v>102</v>
      </c>
    </row>
    <row r="8" spans="1:14">
      <c r="A8" s="40" t="s">
        <v>53</v>
      </c>
      <c r="B8" s="163">
        <f>'Resid TSM Sum by Rate Schedule'!B8*Inputs!$C$12</f>
        <v>677.89881841095337</v>
      </c>
      <c r="C8" s="163">
        <f>'Resid TSM Sum by Rate Schedule'!C8*Inputs!$C$12</f>
        <v>533.55413979815535</v>
      </c>
      <c r="D8" s="163">
        <f>'Resid TSM Sum by Rate Schedule'!D8*Inputs!$C$12</f>
        <v>1025.4600101953902</v>
      </c>
      <c r="E8" s="163">
        <f>'Resid TSM Sum by Rate Schedule'!E8*Inputs!$C$12</f>
        <v>1051.1390835340403</v>
      </c>
      <c r="F8" s="163">
        <f>'Resid TSM Sum by Rate Schedule'!F8*Inputs!$C$12</f>
        <v>1594.3673790544228</v>
      </c>
      <c r="G8" s="163">
        <f>'Resid TSM Sum by Rate Schedule'!G8*Inputs!$C$12</f>
        <v>802.6089023214588</v>
      </c>
      <c r="H8" s="163">
        <f>'Resid TSM Sum by Rate Schedule'!H8*Inputs!$C$12</f>
        <v>765.21676347109837</v>
      </c>
      <c r="I8" s="163">
        <f>'Resid TSM Sum by Rate Schedule'!I8*Inputs!$C$12</f>
        <v>899.89088734158736</v>
      </c>
      <c r="J8" s="163">
        <f>'Resid TSM Sum by Rate Schedule'!J8*Inputs!$C$12</f>
        <v>781.41418630910903</v>
      </c>
      <c r="K8" s="163">
        <f>'Resid TSM Sum by Rate Schedule'!K8*Inputs!$C$12</f>
        <v>950.80620900407246</v>
      </c>
      <c r="L8" s="49">
        <f>'Resid TSM Sum by Rate Schedule'!L8*Inputs!$C$12</f>
        <v>680.52185247371688</v>
      </c>
      <c r="M8" s="358">
        <f>(B8*'Resid Cust Fcst '!$H$40+C8*'Resid Cust Fcst '!$O$40+D8*'Resid Cust Fcst '!$V$40+E8*'Resid Cust Fcst '!$AC$40+F8*'Resid Cust Fcst '!$AJ$40+G8*'Resid Cust Fcst '!$AQ$40+H8*'Resid Cust Fcst '!$AX$40+I8*'Resid Cust Fcst '!$BE$40+J8*'Resid Cust Fcst '!$BL$40+K8*'Resid Cust Fcst '!$BS$40)/'Resid Cust Fcst '!$BZ$40-L8</f>
        <v>0</v>
      </c>
      <c r="N8" s="543"/>
    </row>
    <row r="9" spans="1:14">
      <c r="A9" s="40" t="s">
        <v>51</v>
      </c>
      <c r="B9" s="163">
        <f>'Resid TSM Sum by Rate Schedule'!B9*Inputs!$C$12</f>
        <v>166.40911596430101</v>
      </c>
      <c r="C9" s="163">
        <f>'Resid TSM Sum by Rate Schedule'!C9*Inputs!$C$12</f>
        <v>178.73403805557686</v>
      </c>
      <c r="D9" s="163">
        <f>'Resid TSM Sum by Rate Schedule'!D9*Inputs!$C$12</f>
        <v>425.89309357506113</v>
      </c>
      <c r="E9" s="163">
        <f>'Resid TSM Sum by Rate Schedule'!E9*Inputs!$C$12</f>
        <v>1552.5146751059192</v>
      </c>
      <c r="F9" s="163">
        <f>'Resid TSM Sum by Rate Schedule'!F9*Inputs!$C$12</f>
        <v>940.49596833084468</v>
      </c>
      <c r="G9" s="163">
        <f>'Resid TSM Sum by Rate Schedule'!G9*Inputs!$C$12</f>
        <v>192.29342772725278</v>
      </c>
      <c r="H9" s="163">
        <f>'Resid TSM Sum by Rate Schedule'!H9*Inputs!$C$12</f>
        <v>177.10507160030599</v>
      </c>
      <c r="I9" s="163">
        <f>'Resid TSM Sum by Rate Schedule'!I9*Inputs!$C$12</f>
        <v>207.60578350691929</v>
      </c>
      <c r="J9" s="163">
        <f>'Resid TSM Sum by Rate Schedule'!J9*Inputs!$C$12</f>
        <v>172.04023268816647</v>
      </c>
      <c r="K9" s="163">
        <f>'Resid TSM Sum by Rate Schedule'!K9*Inputs!$C$12</f>
        <v>211.72561971802705</v>
      </c>
      <c r="L9" s="49">
        <f>'Resid TSM Sum by Rate Schedule'!L9*Inputs!$C$12</f>
        <v>167.42004632282004</v>
      </c>
      <c r="M9" s="358">
        <f>(B9*'Resid Cust Fcst '!$H$40+C9*'Resid Cust Fcst '!$O$40+D9*'Resid Cust Fcst '!$V$40+E9*'Resid Cust Fcst '!$AC$40+F9*'Resid Cust Fcst '!$AJ$40+G9*'Resid Cust Fcst '!$AQ$40+H9*'Resid Cust Fcst '!$AX$40+I9*'Resid Cust Fcst '!$BE$40+J9*'Resid Cust Fcst '!$BL$40+K9*'Resid Cust Fcst '!$BS$40)/'Resid Cust Fcst '!$BZ$40-L9</f>
        <v>0</v>
      </c>
      <c r="N9" s="543"/>
    </row>
    <row r="10" spans="1:14">
      <c r="A10" s="40" t="s">
        <v>52</v>
      </c>
      <c r="B10" s="163">
        <f>'Resid TSM Sum by Rate Schedule'!B10*Inputs!$C$12</f>
        <v>267.4336014108722</v>
      </c>
      <c r="C10" s="163">
        <f>'Resid TSM Sum by Rate Schedule'!C10*Inputs!$C$12</f>
        <v>268.99845283809219</v>
      </c>
      <c r="D10" s="163">
        <f>'Resid TSM Sum by Rate Schedule'!D10*Inputs!$C$12</f>
        <v>289.50698692219817</v>
      </c>
      <c r="E10" s="163">
        <f>'Resid TSM Sum by Rate Schedule'!E10*Inputs!$C$12</f>
        <v>401.86826582299057</v>
      </c>
      <c r="F10" s="163">
        <f>'Resid TSM Sum by Rate Schedule'!F10*Inputs!$C$12</f>
        <v>289.12340175821606</v>
      </c>
      <c r="G10" s="163">
        <f>'Resid TSM Sum by Rate Schedule'!G10*Inputs!$C$12</f>
        <v>267.20949310143351</v>
      </c>
      <c r="H10" s="163">
        <f>'Resid TSM Sum by Rate Schedule'!H10*Inputs!$C$12</f>
        <v>267.48394541896687</v>
      </c>
      <c r="I10" s="163">
        <f>'Resid TSM Sum by Rate Schedule'!I10*Inputs!$C$12</f>
        <v>267.48056759704741</v>
      </c>
      <c r="J10" s="163">
        <f>'Resid TSM Sum by Rate Schedule'!J10*Inputs!$C$12</f>
        <v>269.46022134816189</v>
      </c>
      <c r="K10" s="163">
        <f>'Resid TSM Sum by Rate Schedule'!K10*Inputs!$C$12</f>
        <v>267.35945089970352</v>
      </c>
      <c r="L10" s="49">
        <f>'Resid TSM Sum by Rate Schedule'!L10*Inputs!$C$12</f>
        <v>267.484978001873</v>
      </c>
      <c r="M10" s="358">
        <f>(B10*'Resid Cust Fcst '!$H$40+C10*'Resid Cust Fcst '!$O$40+D10*'Resid Cust Fcst '!$V$40+E10*'Resid Cust Fcst '!$AC$40+F10*'Resid Cust Fcst '!$AJ$40+G10*'Resid Cust Fcst '!$AQ$40+H10*'Resid Cust Fcst '!$AX$40+I10*'Resid Cust Fcst '!$BE$40+J10*'Resid Cust Fcst '!$BL$40+K10*'Resid Cust Fcst '!$BS$40)/'Resid Cust Fcst '!$BZ$40-L10</f>
        <v>0</v>
      </c>
      <c r="N10" s="543"/>
    </row>
    <row r="11" spans="1:14">
      <c r="A11" s="42"/>
      <c r="B11" s="163"/>
      <c r="C11" s="163"/>
      <c r="D11" s="163"/>
      <c r="E11" s="163"/>
      <c r="F11" s="163"/>
      <c r="G11" s="434"/>
      <c r="H11" s="434"/>
      <c r="I11" s="434"/>
      <c r="J11" s="163"/>
      <c r="K11" s="163"/>
      <c r="L11" s="49"/>
      <c r="M11" s="358"/>
    </row>
    <row r="12" spans="1:14">
      <c r="A12" s="40" t="s">
        <v>35</v>
      </c>
      <c r="B12" s="163">
        <f t="shared" ref="B12:L12" si="0">SUM(B8:B10)</f>
        <v>1111.7415357861266</v>
      </c>
      <c r="C12" s="163">
        <f t="shared" si="0"/>
        <v>981.28663069182448</v>
      </c>
      <c r="D12" s="163">
        <f t="shared" si="0"/>
        <v>1740.8600906926495</v>
      </c>
      <c r="E12" s="163">
        <f t="shared" si="0"/>
        <v>3005.52202446295</v>
      </c>
      <c r="F12" s="163">
        <f t="shared" si="0"/>
        <v>2823.9867491434834</v>
      </c>
      <c r="G12" s="163">
        <f>SUM(G8:G10)</f>
        <v>1262.111823150145</v>
      </c>
      <c r="H12" s="163">
        <f>SUM(H8:H10)</f>
        <v>1209.8057804903713</v>
      </c>
      <c r="I12" s="163">
        <f>SUM(I8:I10)</f>
        <v>1374.9772384455541</v>
      </c>
      <c r="J12" s="163">
        <f t="shared" si="0"/>
        <v>1222.9146403454374</v>
      </c>
      <c r="K12" s="163">
        <f t="shared" si="0"/>
        <v>1429.8912796218031</v>
      </c>
      <c r="L12" s="49">
        <f t="shared" si="0"/>
        <v>1115.4268767984099</v>
      </c>
      <c r="M12" s="358">
        <f>(B12*'Resid Cust Fcst '!$H$40+C12*'Resid Cust Fcst '!$O$40+D12*'Resid Cust Fcst '!$V$40+E12*'Resid Cust Fcst '!$AC$40+F12*'Resid Cust Fcst '!$AJ$40+G12*'Resid Cust Fcst '!$AQ$40+H12*'Resid Cust Fcst '!$AX$40+I12*'Resid Cust Fcst '!$BE$40+J12*'Resid Cust Fcst '!$BL$40+K12*'Resid Cust Fcst '!$BS$40)/'Resid Cust Fcst '!$BZ$40-L12</f>
        <v>0</v>
      </c>
    </row>
    <row r="13" spans="1:14">
      <c r="A13" s="42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44"/>
    </row>
    <row r="14" spans="1:14">
      <c r="A14" s="40" t="s">
        <v>65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44"/>
    </row>
    <row r="15" spans="1:14">
      <c r="A15" s="53">
        <f>Inputs!C3</f>
        <v>2.7723662892949787E-2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44"/>
    </row>
    <row r="16" spans="1:14">
      <c r="A16" s="40" t="s">
        <v>64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44"/>
    </row>
    <row r="17" spans="1:13">
      <c r="A17" s="53">
        <f>Inputs!C4</f>
        <v>1.5023E-2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44"/>
    </row>
    <row r="18" spans="1:13">
      <c r="A18" s="42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44"/>
    </row>
    <row r="19" spans="1:13">
      <c r="A19" s="122" t="s">
        <v>111</v>
      </c>
      <c r="B19" s="34">
        <f t="shared" ref="B19:L21" si="1">(B8*(1+$A$15)*(1+$A$17))</f>
        <v>707.15907051013403</v>
      </c>
      <c r="C19" s="34">
        <f t="shared" si="1"/>
        <v>556.58402009157589</v>
      </c>
      <c r="D19" s="34">
        <f t="shared" si="1"/>
        <v>1069.7221000545817</v>
      </c>
      <c r="E19" s="34">
        <f t="shared" si="1"/>
        <v>1096.5095632283458</v>
      </c>
      <c r="F19" s="34">
        <f t="shared" si="1"/>
        <v>1663.1853061297306</v>
      </c>
      <c r="G19" s="34">
        <f t="shared" si="1"/>
        <v>837.25203516246609</v>
      </c>
      <c r="H19" s="34">
        <f t="shared" si="1"/>
        <v>798.24593360915571</v>
      </c>
      <c r="I19" s="34">
        <f t="shared" si="1"/>
        <v>938.73301762747894</v>
      </c>
      <c r="J19" s="34">
        <f t="shared" si="1"/>
        <v>815.14248832750832</v>
      </c>
      <c r="K19" s="34">
        <f t="shared" si="1"/>
        <v>991.84600523522613</v>
      </c>
      <c r="L19" s="44">
        <f t="shared" si="1"/>
        <v>709.89532299997938</v>
      </c>
    </row>
    <row r="20" spans="1:13">
      <c r="A20" s="122" t="s">
        <v>51</v>
      </c>
      <c r="B20" s="34">
        <f t="shared" si="1"/>
        <v>173.59185851005577</v>
      </c>
      <c r="C20" s="34">
        <f t="shared" si="1"/>
        <v>186.44876312984351</v>
      </c>
      <c r="D20" s="34">
        <f t="shared" si="1"/>
        <v>444.27598339115121</v>
      </c>
      <c r="E20" s="34">
        <f t="shared" si="1"/>
        <v>1619.5261074134144</v>
      </c>
      <c r="F20" s="34">
        <f t="shared" si="1"/>
        <v>981.09074204077751</v>
      </c>
      <c r="G20" s="34">
        <f t="shared" si="1"/>
        <v>200.59341884613991</v>
      </c>
      <c r="H20" s="34">
        <f t="shared" si="1"/>
        <v>184.74948534219112</v>
      </c>
      <c r="I20" s="34">
        <f t="shared" si="1"/>
        <v>216.56670421909828</v>
      </c>
      <c r="J20" s="34">
        <f t="shared" si="1"/>
        <v>179.46603200060278</v>
      </c>
      <c r="K20" s="34">
        <f t="shared" si="1"/>
        <v>220.86436556114063</v>
      </c>
      <c r="L20" s="44">
        <f t="shared" si="1"/>
        <v>174.64642381281959</v>
      </c>
    </row>
    <row r="21" spans="1:13">
      <c r="A21" s="122" t="s">
        <v>52</v>
      </c>
      <c r="B21" s="34">
        <f t="shared" si="1"/>
        <v>278.97687952930397</v>
      </c>
      <c r="C21" s="34">
        <f t="shared" si="1"/>
        <v>280.60927488198109</v>
      </c>
      <c r="D21" s="34">
        <f t="shared" si="1"/>
        <v>302.0030220114383</v>
      </c>
      <c r="E21" s="34">
        <f t="shared" si="1"/>
        <v>419.21416826342357</v>
      </c>
      <c r="F21" s="34">
        <f t="shared" si="1"/>
        <v>301.60288010138322</v>
      </c>
      <c r="G21" s="34">
        <f t="shared" si="1"/>
        <v>278.74309799806048</v>
      </c>
      <c r="H21" s="34">
        <f t="shared" si="1"/>
        <v>279.02939654364752</v>
      </c>
      <c r="I21" s="34">
        <f t="shared" si="1"/>
        <v>279.0258729242754</v>
      </c>
      <c r="J21" s="34">
        <f t="shared" si="1"/>
        <v>281.09097477804698</v>
      </c>
      <c r="K21" s="34">
        <f t="shared" si="1"/>
        <v>278.89952844809272</v>
      </c>
      <c r="L21" s="44">
        <f t="shared" si="1"/>
        <v>279.03047369609021</v>
      </c>
    </row>
    <row r="22" spans="1:13">
      <c r="A22" s="42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44"/>
    </row>
    <row r="23" spans="1:13">
      <c r="A23" s="40" t="s">
        <v>35</v>
      </c>
      <c r="B23" s="34">
        <f>SUM(B19:B21)</f>
        <v>1159.7278085494938</v>
      </c>
      <c r="C23" s="34">
        <f t="shared" ref="C23:K23" si="2">SUM(C19:C21)</f>
        <v>1023.6420581034006</v>
      </c>
      <c r="D23" s="34">
        <f t="shared" si="2"/>
        <v>1816.0011054571712</v>
      </c>
      <c r="E23" s="34">
        <f t="shared" si="2"/>
        <v>3135.2498389051839</v>
      </c>
      <c r="F23" s="34">
        <f t="shared" si="2"/>
        <v>2945.8789282718913</v>
      </c>
      <c r="G23" s="34">
        <f t="shared" si="2"/>
        <v>1316.5885520066663</v>
      </c>
      <c r="H23" s="34">
        <f>SUM(H19:H21)</f>
        <v>1262.0248154949945</v>
      </c>
      <c r="I23" s="34">
        <f t="shared" si="2"/>
        <v>1434.3255947708526</v>
      </c>
      <c r="J23" s="34">
        <f t="shared" si="2"/>
        <v>1275.6994951061581</v>
      </c>
      <c r="K23" s="34">
        <f t="shared" si="2"/>
        <v>1491.6098992444595</v>
      </c>
      <c r="L23" s="44">
        <f>SUM(L19:L21)</f>
        <v>1163.5722205088891</v>
      </c>
    </row>
    <row r="24" spans="1:13">
      <c r="A24" s="40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44"/>
    </row>
    <row r="25" spans="1:13">
      <c r="A25" s="805" t="str">
        <f>'Resid TSM Sum by Rate Schedule'!A25</f>
        <v>Annualized Transformer Cost at 8.05%</v>
      </c>
      <c r="B25" s="97">
        <f>B19*Inputs!$C$5</f>
        <v>56.91121619310956</v>
      </c>
      <c r="C25" s="97">
        <f>C19*Inputs!$C$5</f>
        <v>44.793137524505212</v>
      </c>
      <c r="D25" s="97">
        <f>D19*Inputs!$C$5</f>
        <v>86.089803894951302</v>
      </c>
      <c r="E25" s="97">
        <f>E19*Inputs!$C$5</f>
        <v>88.245623103842007</v>
      </c>
      <c r="F25" s="97">
        <f>F19*Inputs!$C$5</f>
        <v>133.85092898273976</v>
      </c>
      <c r="G25" s="97">
        <f>G19*Inputs!$C$5</f>
        <v>67.38092399335099</v>
      </c>
      <c r="H25" s="97">
        <f>H19*Inputs!$C$5</f>
        <v>64.241765109693546</v>
      </c>
      <c r="I25" s="97">
        <f>I19*Inputs!$C$5</f>
        <v>75.547977734723801</v>
      </c>
      <c r="J25" s="97">
        <f>J19*Inputs!$C$5</f>
        <v>65.601577234851163</v>
      </c>
      <c r="K25" s="97">
        <f>K19*Inputs!$C$5</f>
        <v>79.822439940555228</v>
      </c>
      <c r="L25" s="99">
        <f>L19*Inputs!$C$5</f>
        <v>57.131426133846354</v>
      </c>
    </row>
    <row r="26" spans="1:13">
      <c r="A26" s="805" t="str">
        <f>'Resid TSM Sum by Rate Schedule'!A26</f>
        <v>Annualized Services Cost at 7.08%</v>
      </c>
      <c r="B26" s="97">
        <f>B20*Inputs!$C$6</f>
        <v>12.28597419144632</v>
      </c>
      <c r="C26" s="97">
        <f>C20*Inputs!$C$6</f>
        <v>13.195922386576962</v>
      </c>
      <c r="D26" s="97">
        <f>D20*Inputs!$C$6</f>
        <v>31.44365935518184</v>
      </c>
      <c r="E26" s="97">
        <f>E20*Inputs!$C$6</f>
        <v>114.62205732938861</v>
      </c>
      <c r="F26" s="97">
        <f>F20*Inputs!$C$6</f>
        <v>69.436756076216966</v>
      </c>
      <c r="G26" s="97">
        <f>G20*Inputs!$C$6</f>
        <v>14.197011242753041</v>
      </c>
      <c r="H26" s="97">
        <f>H20*Inputs!$C$6</f>
        <v>13.075655899298207</v>
      </c>
      <c r="I26" s="97">
        <f>I20*Inputs!$C$6</f>
        <v>15.327521472490602</v>
      </c>
      <c r="J26" s="97">
        <f>J20*Inputs!$C$6</f>
        <v>12.701719172347934</v>
      </c>
      <c r="K26" s="97">
        <f>K20*Inputs!$C$6</f>
        <v>15.631688711582925</v>
      </c>
      <c r="L26" s="99">
        <f>L20*Inputs!$C$6</f>
        <v>12.360611113961903</v>
      </c>
    </row>
    <row r="27" spans="1:13" ht="15">
      <c r="A27" s="805" t="str">
        <f>'Resid TSM Sum by Rate Schedule'!A27</f>
        <v>Annualized Meter Cost at 10.78%</v>
      </c>
      <c r="B27" s="627">
        <f>B21*Inputs!$C$7</f>
        <v>30.064347756636607</v>
      </c>
      <c r="C27" s="627">
        <f>C21*Inputs!$C$7</f>
        <v>30.240265207724331</v>
      </c>
      <c r="D27" s="627">
        <f>D21*Inputs!$C$7</f>
        <v>32.545793374082599</v>
      </c>
      <c r="E27" s="627">
        <f>E21*Inputs!$C$7</f>
        <v>45.177222429491216</v>
      </c>
      <c r="F27" s="627">
        <f>F21*Inputs!$C$7</f>
        <v>32.502671501201242</v>
      </c>
      <c r="G27" s="627">
        <f>G21*Inputs!$C$7</f>
        <v>30.039153951091709</v>
      </c>
      <c r="H27" s="627">
        <f>H21*Inputs!$C$7</f>
        <v>30.070007328802692</v>
      </c>
      <c r="I27" s="627">
        <f>I21*Inputs!$C$7</f>
        <v>30.069627600854108</v>
      </c>
      <c r="J27" s="627">
        <f>J21*Inputs!$C$7</f>
        <v>30.292176295173928</v>
      </c>
      <c r="K27" s="627">
        <f>K21*Inputs!$C$7</f>
        <v>30.056011905261361</v>
      </c>
      <c r="L27" s="626">
        <f>L21*Inputs!$C$7</f>
        <v>30.070123409696844</v>
      </c>
    </row>
    <row r="28" spans="1:13">
      <c r="A28" s="114" t="s">
        <v>380</v>
      </c>
      <c r="B28" s="97">
        <f>SUM(B25:B27)</f>
        <v>99.261538141192489</v>
      </c>
      <c r="C28" s="97">
        <f t="shared" ref="C28:L28" si="3">SUM(C25:C27)</f>
        <v>88.2293251188065</v>
      </c>
      <c r="D28" s="97">
        <f t="shared" si="3"/>
        <v>150.07925662421573</v>
      </c>
      <c r="E28" s="97">
        <f t="shared" si="3"/>
        <v>248.04490286272184</v>
      </c>
      <c r="F28" s="97">
        <f t="shared" si="3"/>
        <v>235.79035656015796</v>
      </c>
      <c r="G28" s="97">
        <f t="shared" si="3"/>
        <v>111.61708918719573</v>
      </c>
      <c r="H28" s="97">
        <f>SUM(H25:H27)</f>
        <v>107.38742833779445</v>
      </c>
      <c r="I28" s="97">
        <f t="shared" si="3"/>
        <v>120.94512680806851</v>
      </c>
      <c r="J28" s="97">
        <f t="shared" si="3"/>
        <v>108.59547270237303</v>
      </c>
      <c r="K28" s="97">
        <f t="shared" si="3"/>
        <v>125.51014055739951</v>
      </c>
      <c r="L28" s="99">
        <f t="shared" si="3"/>
        <v>99.562160657505103</v>
      </c>
    </row>
    <row r="29" spans="1:13">
      <c r="A29" s="53"/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44"/>
    </row>
    <row r="30" spans="1:13">
      <c r="A30" s="40" t="s">
        <v>50</v>
      </c>
      <c r="B30" s="34">
        <f>'Resid TSM Sum by Rate Schedule'!B$30*Inputs!$C$13</f>
        <v>8.9544494471416112</v>
      </c>
      <c r="C30" s="34">
        <f>'Resid TSM Sum by Rate Schedule'!C$30*Inputs!$C$13</f>
        <v>8.724706333911918</v>
      </c>
      <c r="D30" s="34">
        <f>'Resid TSM Sum by Rate Schedule'!D$30*Inputs!$C$13</f>
        <v>25.140429015963075</v>
      </c>
      <c r="E30" s="34">
        <f>'Resid TSM Sum by Rate Schedule'!E$30*Inputs!$C$13</f>
        <v>72.398298957883554</v>
      </c>
      <c r="F30" s="34">
        <f>'Resid TSM Sum by Rate Schedule'!F$30*Inputs!$C$13</f>
        <v>40.579522047863556</v>
      </c>
      <c r="G30" s="34">
        <f>'Resid TSM Sum by Rate Schedule'!G$30*Inputs!$C$13</f>
        <v>10.168503242216142</v>
      </c>
      <c r="H30" s="34">
        <f>'Resid TSM Sum by Rate Schedule'!H$30*Inputs!$C$13</f>
        <v>9.7695521825970157</v>
      </c>
      <c r="I30" s="34">
        <f>'Resid TSM Sum by Rate Schedule'!I$30*Inputs!$C$13</f>
        <v>11.221189918025162</v>
      </c>
      <c r="J30" s="34">
        <f>'Resid TSM Sum by Rate Schedule'!J$30*Inputs!$C$13</f>
        <v>9.9937995104982562</v>
      </c>
      <c r="K30" s="34">
        <f>'Resid TSM Sum by Rate Schedule'!K$30*Inputs!$C$13</f>
        <v>11.572909276346989</v>
      </c>
      <c r="L30" s="44">
        <f>'Resid TSM Sum by Rate Schedule'!L$30*Inputs!$C$13</f>
        <v>9.0050712252016929</v>
      </c>
      <c r="M30" s="35"/>
    </row>
    <row r="31" spans="1:13" ht="15">
      <c r="A31" s="40" t="s">
        <v>452</v>
      </c>
      <c r="B31" s="729">
        <f>-Inputs!$C$18</f>
        <v>-3.0284021924274875</v>
      </c>
      <c r="C31" s="729">
        <f>-Inputs!$C$18</f>
        <v>-3.0284021924274875</v>
      </c>
      <c r="D31" s="729">
        <f>-Inputs!$C$18</f>
        <v>-3.0284021924274875</v>
      </c>
      <c r="E31" s="729">
        <f>-Inputs!$C$18</f>
        <v>-3.0284021924274875</v>
      </c>
      <c r="F31" s="729">
        <f>-Inputs!$C$18</f>
        <v>-3.0284021924274875</v>
      </c>
      <c r="G31" s="729">
        <f>-Inputs!$C$18</f>
        <v>-3.0284021924274875</v>
      </c>
      <c r="H31" s="729">
        <f>-Inputs!$C$18</f>
        <v>-3.0284021924274875</v>
      </c>
      <c r="I31" s="729">
        <f>-Inputs!$C$18</f>
        <v>-3.0284021924274875</v>
      </c>
      <c r="J31" s="729">
        <f>-Inputs!$C$18</f>
        <v>-3.0284021924274875</v>
      </c>
      <c r="K31" s="729">
        <f>-Inputs!$C$18</f>
        <v>-3.0284021924274875</v>
      </c>
      <c r="L31" s="731">
        <f>-Inputs!$C$18</f>
        <v>-3.0284021924274875</v>
      </c>
    </row>
    <row r="32" spans="1:13">
      <c r="A32" s="40" t="s">
        <v>451</v>
      </c>
      <c r="B32" s="34">
        <f>B30+B31</f>
        <v>5.9260472547141241</v>
      </c>
      <c r="C32" s="34">
        <f t="shared" ref="C32:L32" si="4">C30+C31</f>
        <v>5.6963041414844309</v>
      </c>
      <c r="D32" s="34">
        <f t="shared" si="4"/>
        <v>22.112026823535587</v>
      </c>
      <c r="E32" s="34">
        <f t="shared" si="4"/>
        <v>69.369896765456062</v>
      </c>
      <c r="F32" s="34">
        <f t="shared" si="4"/>
        <v>37.55111985543607</v>
      </c>
      <c r="G32" s="34">
        <f t="shared" si="4"/>
        <v>7.1401010497886546</v>
      </c>
      <c r="H32" s="34">
        <f t="shared" si="4"/>
        <v>6.7411499901695286</v>
      </c>
      <c r="I32" s="34">
        <f t="shared" si="4"/>
        <v>8.1927877255976753</v>
      </c>
      <c r="J32" s="34">
        <f t="shared" si="4"/>
        <v>6.9653973180707691</v>
      </c>
      <c r="K32" s="34">
        <f t="shared" si="4"/>
        <v>8.5445070839195019</v>
      </c>
      <c r="L32" s="44">
        <f t="shared" si="4"/>
        <v>5.9766690327742058</v>
      </c>
      <c r="M32" s="35"/>
    </row>
    <row r="33" spans="1:14">
      <c r="A33" s="11"/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44"/>
      <c r="M33" s="35"/>
    </row>
    <row r="34" spans="1:14">
      <c r="A34" s="40" t="s">
        <v>61</v>
      </c>
      <c r="B34" s="34">
        <f>'Resid TSM Sum by Rate Schedule'!B32*Inputs!$C$14</f>
        <v>28.478866312568123</v>
      </c>
      <c r="C34" s="34">
        <f>'Resid TSM Sum by Rate Schedule'!C32*Inputs!$C$14</f>
        <v>28.478866312568123</v>
      </c>
      <c r="D34" s="34">
        <f>'Resid TSM Sum by Rate Schedule'!D32*Inputs!$C$14</f>
        <v>28.478866312568123</v>
      </c>
      <c r="E34" s="34">
        <f>'Resid TSM Sum by Rate Schedule'!E32*Inputs!$C$14</f>
        <v>28.478866312568126</v>
      </c>
      <c r="F34" s="34">
        <f>'Resid TSM Sum by Rate Schedule'!F32*Inputs!$C$14</f>
        <v>28.47886631256813</v>
      </c>
      <c r="G34" s="34">
        <f>'Resid TSM Sum by Rate Schedule'!G32*Inputs!$C$14</f>
        <v>28.478866312568126</v>
      </c>
      <c r="H34" s="34">
        <f>'Resid TSM Sum by Rate Schedule'!H32*Inputs!$C$14</f>
        <v>28.478866312568123</v>
      </c>
      <c r="I34" s="34">
        <f>'Resid TSM Sum by Rate Schedule'!I32*Inputs!$C$14</f>
        <v>28.478866312568123</v>
      </c>
      <c r="J34" s="34">
        <f>'Resid TSM Sum by Rate Schedule'!J32*Inputs!$C$14</f>
        <v>28.478866312568119</v>
      </c>
      <c r="K34" s="34">
        <f>'Resid TSM Sum by Rate Schedule'!K32*Inputs!$C$14</f>
        <v>28.478866312568112</v>
      </c>
      <c r="L34" s="44">
        <f>'Resid TSM Sum by Rate Schedule'!L32*Inputs!$C$14</f>
        <v>28.478866312568123</v>
      </c>
      <c r="M34" s="35"/>
    </row>
    <row r="35" spans="1:14">
      <c r="A35" s="11"/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44"/>
      <c r="M35" s="35"/>
    </row>
    <row r="36" spans="1:14">
      <c r="A36" s="40" t="s">
        <v>97</v>
      </c>
      <c r="B36" s="34">
        <f t="shared" ref="B36:L36" si="5">B28+B32+B34</f>
        <v>133.66645170847474</v>
      </c>
      <c r="C36" s="34">
        <f t="shared" si="5"/>
        <v>122.40449557285905</v>
      </c>
      <c r="D36" s="34">
        <f t="shared" si="5"/>
        <v>200.67014976031945</v>
      </c>
      <c r="E36" s="34">
        <f t="shared" si="5"/>
        <v>345.89366594074602</v>
      </c>
      <c r="F36" s="34">
        <f t="shared" si="5"/>
        <v>301.82034272816213</v>
      </c>
      <c r="G36" s="34">
        <f t="shared" si="5"/>
        <v>147.2360565495525</v>
      </c>
      <c r="H36" s="34">
        <f t="shared" si="5"/>
        <v>142.60744464053209</v>
      </c>
      <c r="I36" s="34">
        <f t="shared" si="5"/>
        <v>157.61678084623432</v>
      </c>
      <c r="J36" s="34">
        <f t="shared" si="5"/>
        <v>144.03973633301192</v>
      </c>
      <c r="K36" s="34">
        <f t="shared" si="5"/>
        <v>162.53351395388711</v>
      </c>
      <c r="L36" s="44">
        <f t="shared" si="5"/>
        <v>134.01769600284743</v>
      </c>
      <c r="M36" s="35"/>
      <c r="N36" s="35"/>
    </row>
    <row r="37" spans="1:14" ht="13.5" thickBot="1">
      <c r="A37" s="15"/>
      <c r="B37" s="115"/>
      <c r="C37" s="115"/>
      <c r="D37" s="115"/>
      <c r="E37" s="115"/>
      <c r="F37" s="115"/>
      <c r="G37" s="115"/>
      <c r="H37" s="115"/>
      <c r="I37" s="115"/>
      <c r="J37" s="115"/>
      <c r="K37" s="115"/>
      <c r="L37" s="116"/>
    </row>
    <row r="38" spans="1:14">
      <c r="A38" s="1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</row>
    <row r="39" spans="1:14"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35"/>
    </row>
    <row r="40" spans="1:14">
      <c r="L40" s="35"/>
    </row>
    <row r="41" spans="1:14">
      <c r="A41" t="s">
        <v>3</v>
      </c>
    </row>
    <row r="49" spans="1:1">
      <c r="A49" s="19"/>
    </row>
    <row r="61" spans="1:1">
      <c r="A61" s="19"/>
    </row>
  </sheetData>
  <mergeCells count="1">
    <mergeCell ref="A1:L1"/>
  </mergeCells>
  <printOptions horizontalCentered="1"/>
  <pageMargins left="0.75" right="0.75" top="1" bottom="1" header="0.5" footer="0.5"/>
  <pageSetup scale="69" orientation="portrait" r:id="rId1"/>
  <headerFooter alignWithMargins="0">
    <oddFooter>&amp;L&amp;F
&amp;A&amp;R&amp;P of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8">
    <tabColor rgb="FFC00000"/>
  </sheetPr>
  <dimension ref="A1:AE56"/>
  <sheetViews>
    <sheetView zoomScaleNormal="100" workbookViewId="0">
      <selection activeCell="B7" sqref="B7"/>
    </sheetView>
  </sheetViews>
  <sheetFormatPr defaultRowHeight="12.75"/>
  <cols>
    <col min="1" max="1" width="39" customWidth="1"/>
    <col min="2" max="2" width="12.85546875" bestFit="1" customWidth="1"/>
    <col min="3" max="3" width="11.28515625" bestFit="1" customWidth="1"/>
    <col min="4" max="4" width="12.28515625" bestFit="1" customWidth="1"/>
    <col min="5" max="5" width="9.28515625" bestFit="1" customWidth="1"/>
    <col min="6" max="6" width="12.85546875" bestFit="1" customWidth="1"/>
    <col min="7" max="7" width="11.28515625" bestFit="1" customWidth="1"/>
    <col min="8" max="8" width="10.28515625" bestFit="1" customWidth="1"/>
    <col min="9" max="9" width="11.28515625" bestFit="1" customWidth="1"/>
    <col min="10" max="10" width="12.85546875" customWidth="1"/>
    <col min="11" max="11" width="12.28515625" customWidth="1"/>
    <col min="12" max="12" width="12.28515625" bestFit="1" customWidth="1"/>
    <col min="13" max="13" width="10.28515625" bestFit="1" customWidth="1"/>
    <col min="14" max="14" width="12.85546875" customWidth="1"/>
    <col min="15" max="15" width="10" customWidth="1"/>
    <col min="16" max="17" width="10.28515625" bestFit="1" customWidth="1"/>
    <col min="18" max="18" width="12.85546875" bestFit="1" customWidth="1"/>
    <col min="19" max="20" width="12.28515625" bestFit="1" customWidth="1"/>
    <col min="21" max="21" width="11.28515625" bestFit="1" customWidth="1"/>
    <col min="22" max="22" width="12.85546875" bestFit="1" customWidth="1"/>
    <col min="23" max="25" width="10.28515625" customWidth="1"/>
    <col min="26" max="29" width="13.85546875" customWidth="1"/>
  </cols>
  <sheetData>
    <row r="1" spans="1:31" ht="18.75" thickBot="1">
      <c r="A1" s="841" t="s">
        <v>96</v>
      </c>
      <c r="B1" s="841"/>
      <c r="C1" s="841"/>
      <c r="D1" s="841"/>
      <c r="E1" s="841"/>
      <c r="F1" s="841"/>
      <c r="G1" s="841"/>
      <c r="H1" s="841"/>
      <c r="I1" s="841"/>
      <c r="J1" s="841"/>
      <c r="K1" s="841"/>
      <c r="L1" s="841"/>
      <c r="M1" s="841"/>
      <c r="N1" s="841"/>
      <c r="O1" s="841"/>
      <c r="P1" s="841"/>
      <c r="Q1" s="841"/>
      <c r="R1" s="841"/>
      <c r="S1" s="841"/>
      <c r="T1" s="841"/>
      <c r="U1" s="841"/>
      <c r="V1" s="841"/>
      <c r="W1" s="841"/>
      <c r="X1" s="841"/>
      <c r="Y1" s="841"/>
    </row>
    <row r="2" spans="1:31" ht="13.5" thickBot="1">
      <c r="A2" s="131"/>
      <c r="B2" s="834" t="s">
        <v>132</v>
      </c>
      <c r="C2" s="835"/>
      <c r="D2" s="835"/>
      <c r="E2" s="835"/>
      <c r="F2" s="835"/>
      <c r="G2" s="835"/>
      <c r="H2" s="835"/>
      <c r="I2" s="835"/>
      <c r="J2" s="835"/>
      <c r="K2" s="835"/>
      <c r="L2" s="835"/>
      <c r="M2" s="835"/>
      <c r="N2" s="835"/>
      <c r="O2" s="835"/>
      <c r="P2" s="835"/>
      <c r="Q2" s="835"/>
      <c r="R2" s="835"/>
      <c r="S2" s="835"/>
      <c r="T2" s="835"/>
      <c r="U2" s="837"/>
      <c r="V2" s="834" t="s">
        <v>133</v>
      </c>
      <c r="W2" s="835"/>
      <c r="X2" s="835"/>
      <c r="Y2" s="837"/>
      <c r="Z2" s="834" t="s">
        <v>146</v>
      </c>
      <c r="AA2" s="835"/>
      <c r="AB2" s="835"/>
      <c r="AC2" s="837"/>
    </row>
    <row r="3" spans="1:31">
      <c r="A3" s="196"/>
      <c r="B3" s="842" t="s">
        <v>127</v>
      </c>
      <c r="C3" s="843"/>
      <c r="D3" s="843"/>
      <c r="E3" s="844"/>
      <c r="F3" s="842" t="s">
        <v>114</v>
      </c>
      <c r="G3" s="843"/>
      <c r="H3" s="843"/>
      <c r="I3" s="844"/>
      <c r="J3" s="842" t="s">
        <v>115</v>
      </c>
      <c r="K3" s="843"/>
      <c r="L3" s="843"/>
      <c r="M3" s="844"/>
      <c r="N3" s="842" t="s">
        <v>113</v>
      </c>
      <c r="O3" s="843"/>
      <c r="P3" s="843"/>
      <c r="Q3" s="844"/>
      <c r="R3" s="836" t="s">
        <v>138</v>
      </c>
      <c r="S3" s="843"/>
      <c r="T3" s="843"/>
      <c r="U3" s="844"/>
      <c r="V3" s="345"/>
      <c r="W3" s="346"/>
      <c r="X3" s="346"/>
      <c r="Y3" s="347"/>
      <c r="Z3" s="345"/>
      <c r="AA3" s="346"/>
      <c r="AB3" s="346"/>
      <c r="AC3" s="347"/>
    </row>
    <row r="4" spans="1:31" ht="13.5" thickBot="1">
      <c r="A4" s="102" t="s">
        <v>4</v>
      </c>
      <c r="B4" s="348" t="s">
        <v>36</v>
      </c>
      <c r="C4" s="349" t="s">
        <v>37</v>
      </c>
      <c r="D4" s="349" t="s">
        <v>38</v>
      </c>
      <c r="E4" s="350" t="s">
        <v>41</v>
      </c>
      <c r="F4" s="348" t="s">
        <v>36</v>
      </c>
      <c r="G4" s="349" t="s">
        <v>37</v>
      </c>
      <c r="H4" s="349" t="s">
        <v>38</v>
      </c>
      <c r="I4" s="350" t="s">
        <v>41</v>
      </c>
      <c r="J4" s="348" t="s">
        <v>36</v>
      </c>
      <c r="K4" s="349" t="s">
        <v>37</v>
      </c>
      <c r="L4" s="349" t="s">
        <v>40</v>
      </c>
      <c r="M4" s="350" t="s">
        <v>41</v>
      </c>
      <c r="N4" s="348" t="s">
        <v>36</v>
      </c>
      <c r="O4" s="349" t="s">
        <v>37</v>
      </c>
      <c r="P4" s="349" t="s">
        <v>40</v>
      </c>
      <c r="Q4" s="350" t="s">
        <v>41</v>
      </c>
      <c r="R4" s="348" t="s">
        <v>36</v>
      </c>
      <c r="S4" s="349" t="s">
        <v>37</v>
      </c>
      <c r="T4" s="349" t="s">
        <v>38</v>
      </c>
      <c r="U4" s="350" t="s">
        <v>41</v>
      </c>
      <c r="V4" s="348" t="s">
        <v>36</v>
      </c>
      <c r="W4" s="349" t="s">
        <v>37</v>
      </c>
      <c r="X4" s="349" t="s">
        <v>40</v>
      </c>
      <c r="Y4" s="350" t="s">
        <v>41</v>
      </c>
      <c r="Z4" s="348" t="s">
        <v>36</v>
      </c>
      <c r="AA4" s="349" t="s">
        <v>37</v>
      </c>
      <c r="AB4" s="349" t="s">
        <v>40</v>
      </c>
      <c r="AC4" s="350" t="s">
        <v>41</v>
      </c>
    </row>
    <row r="5" spans="1:31">
      <c r="A5" s="133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5" t="s">
        <v>42</v>
      </c>
      <c r="K5" s="6" t="s">
        <v>42</v>
      </c>
      <c r="L5" s="6" t="s">
        <v>42</v>
      </c>
      <c r="M5" s="7" t="s">
        <v>43</v>
      </c>
      <c r="N5" s="5" t="s">
        <v>42</v>
      </c>
      <c r="O5" s="6" t="s">
        <v>42</v>
      </c>
      <c r="P5" s="6" t="s">
        <v>42</v>
      </c>
      <c r="Q5" s="7" t="s">
        <v>43</v>
      </c>
      <c r="R5" s="5" t="s">
        <v>42</v>
      </c>
      <c r="S5" s="6" t="s">
        <v>42</v>
      </c>
      <c r="T5" s="6" t="s">
        <v>42</v>
      </c>
      <c r="U5" s="7" t="s">
        <v>43</v>
      </c>
      <c r="V5" s="132" t="s">
        <v>42</v>
      </c>
      <c r="W5" s="8" t="s">
        <v>42</v>
      </c>
      <c r="X5" s="8" t="s">
        <v>42</v>
      </c>
      <c r="Y5" s="9" t="s">
        <v>43</v>
      </c>
      <c r="Z5" s="132" t="s">
        <v>42</v>
      </c>
      <c r="AA5" s="8" t="s">
        <v>42</v>
      </c>
      <c r="AB5" s="8" t="s">
        <v>42</v>
      </c>
      <c r="AC5" s="9" t="s">
        <v>43</v>
      </c>
    </row>
    <row r="6" spans="1:31">
      <c r="A6" s="112"/>
      <c r="B6" s="132"/>
      <c r="C6" s="8"/>
      <c r="D6" s="8"/>
      <c r="E6" s="9"/>
      <c r="F6" s="132"/>
      <c r="G6" s="8"/>
      <c r="H6" s="8"/>
      <c r="I6" s="9"/>
      <c r="J6" s="132"/>
      <c r="K6" s="8"/>
      <c r="L6" s="8"/>
      <c r="M6" s="9"/>
      <c r="N6" s="132"/>
      <c r="O6" s="8"/>
      <c r="P6" s="8"/>
      <c r="Q6" s="9"/>
      <c r="R6" s="132"/>
      <c r="S6" s="8"/>
      <c r="T6" s="8"/>
      <c r="U6" s="9"/>
      <c r="V6" s="132"/>
      <c r="W6" s="8"/>
      <c r="X6" s="8"/>
      <c r="Y6" s="9"/>
      <c r="Z6" s="132"/>
      <c r="AA6" s="8"/>
      <c r="AB6" s="8"/>
      <c r="AC6" s="9"/>
    </row>
    <row r="7" spans="1:31">
      <c r="A7" s="153" t="s">
        <v>5</v>
      </c>
      <c r="B7" s="137">
        <f>'Resid Cust Fcst '!$B8*'Resid TSM UC Adj'!B7</f>
        <v>87094927.002799556</v>
      </c>
      <c r="C7" s="23">
        <f>'Resid Cust Fcst '!$B8*'Resid TSM UC Adj'!C7</f>
        <v>49232441.554737881</v>
      </c>
      <c r="D7" s="23">
        <f>'Resid Cust Fcst '!$B8*'Resid TSM UC Adj'!D7</f>
        <v>87397423.131995469</v>
      </c>
      <c r="E7" s="45">
        <f>IF(SUM(B7:D7)=0,0,SUM(B7:D7)/'Resid Cust Fcst '!B8)</f>
        <v>630.34740405533853</v>
      </c>
      <c r="F7" s="137">
        <f>'Resid Cust Fcst '!$C8*'Resid TSM UC Adj'!F7</f>
        <v>25024.4040986693</v>
      </c>
      <c r="G7" s="23">
        <f>'Resid Cust Fcst '!$C8*'Resid TSM UC Adj'!G7</f>
        <v>64856.274780258907</v>
      </c>
      <c r="H7" s="23">
        <f>'Resid Cust Fcst '!$C8*'Resid TSM UC Adj'!H7</f>
        <v>32093.48</v>
      </c>
      <c r="I7" s="45">
        <f>IF(SUM(F7:H7)=0,0,SUM(F7:H7)/'Resid Cust Fcst '!C8)</f>
        <v>1418.3041730107932</v>
      </c>
      <c r="J7" s="137">
        <f>'Resid Cust Fcst '!$D8*'Resid TSM UC Adj'!J7</f>
        <v>216923.30436542846</v>
      </c>
      <c r="K7" s="23">
        <f>'Resid Cust Fcst '!$D8*'Resid TSM UC Adj'!K7</f>
        <v>534687.19557213446</v>
      </c>
      <c r="L7" s="23">
        <f>'Resid Cust Fcst '!$D8*'Resid TSM UC Adj'!L7</f>
        <v>264584.62</v>
      </c>
      <c r="M7" s="45">
        <f>IF(SUM(J7:L7)=0,0,SUM(J7:L7)/'Resid Cust Fcst '!D8)</f>
        <v>1433.2794357370424</v>
      </c>
      <c r="N7" s="137">
        <f>'Resid Cust Fcst '!$E8*'Resid TSM UC Adj'!N7</f>
        <v>3609.0764941905818</v>
      </c>
      <c r="O7" s="23">
        <f>'Resid Cust Fcst '!$E8*'Resid TSM UC Adj'!O7</f>
        <v>7541.4273000301055</v>
      </c>
      <c r="P7" s="23">
        <f>'Resid Cust Fcst '!$E8*'Resid TSM UC Adj'!P7</f>
        <v>3731.8</v>
      </c>
      <c r="Q7" s="45">
        <f>IF(SUM(N7:P7)=0,0,SUM(N7:P7)/'Resid Cust Fcst '!E8)</f>
        <v>1488.2303794220686</v>
      </c>
      <c r="R7" s="137">
        <f>B7+F7+J7+N7</f>
        <v>87340483.787757844</v>
      </c>
      <c r="S7" s="23">
        <f t="shared" ref="S7:T22" si="0">C7+G7+K7+O7</f>
        <v>49839526.452390306</v>
      </c>
      <c r="T7" s="23">
        <f t="shared" si="0"/>
        <v>87697833.031995475</v>
      </c>
      <c r="U7" s="45">
        <f>IF(SUM(R7:T7)=0,0,SUM(R7:T7)/'Resid Cust Fcst '!F8)</f>
        <v>632.1623354702009</v>
      </c>
      <c r="V7" s="137">
        <f>'Resid Cust Fcst '!$G8*'Resid TSM UC Adj'!R7</f>
        <v>0</v>
      </c>
      <c r="W7" s="23">
        <f>'Resid Cust Fcst '!$G8*'Resid TSM UC Adj'!S7</f>
        <v>0</v>
      </c>
      <c r="X7" s="23">
        <f>'Resid Cust Fcst '!$G8*'Resid TSM UC Adj'!T7</f>
        <v>0</v>
      </c>
      <c r="Y7" s="45">
        <f>IF(SUM(V7:X7)=0,0,SUM(V7:X7)/'Resid Cust Fcst '!G8)</f>
        <v>0</v>
      </c>
      <c r="Z7" s="137">
        <f>R7+V7</f>
        <v>87340483.787757844</v>
      </c>
      <c r="AA7" s="23">
        <f t="shared" ref="AA7:AB22" si="1">S7+W7</f>
        <v>49839526.452390306</v>
      </c>
      <c r="AB7" s="23">
        <f t="shared" si="1"/>
        <v>87697833.031995475</v>
      </c>
      <c r="AC7" s="45">
        <f>IF(SUM(Z7:AB7)=0,0,SUM(Z7:AB7)/'Resid Cust Fcst '!H8)</f>
        <v>632.1623354702009</v>
      </c>
      <c r="AE7" s="35"/>
    </row>
    <row r="8" spans="1:31">
      <c r="A8" s="155" t="s">
        <v>6</v>
      </c>
      <c r="B8" s="137">
        <f>'Resid Cust Fcst '!$B9*'Resid TSM UC Adj'!B8</f>
        <v>485452413.18227589</v>
      </c>
      <c r="C8" s="23">
        <f>'Resid Cust Fcst '!$B9*'Resid TSM UC Adj'!C8</f>
        <v>87313327.211689353</v>
      </c>
      <c r="D8" s="23">
        <f>'Resid Cust Fcst '!$B9*'Resid TSM UC Adj'!D8</f>
        <v>154998605.84606788</v>
      </c>
      <c r="E8" s="45">
        <f>IF(SUM(B8:D8)=0,0,SUM(B8:D8)/'Resid Cust Fcst '!B9)</f>
        <v>1156.1853644990701</v>
      </c>
      <c r="F8" s="137">
        <f>'Resid Cust Fcst '!$C9*'Resid TSM UC Adj'!F8</f>
        <v>123958.09472131538</v>
      </c>
      <c r="G8" s="23">
        <f>'Resid Cust Fcst '!$C9*'Resid TSM UC Adj'!G8</f>
        <v>107088.2676604275</v>
      </c>
      <c r="H8" s="23">
        <f>'Resid Cust Fcst '!$C9*'Resid TSM UC Adj'!H8</f>
        <v>52991.56</v>
      </c>
      <c r="I8" s="45">
        <f>IF(SUM(F8:H8)=0,0,SUM(F8:H8)/'Resid Cust Fcst '!C9)</f>
        <v>2000.2670590263581</v>
      </c>
      <c r="J8" s="137">
        <f>'Resid Cust Fcst '!$D9*'Resid TSM UC Adj'!J8</f>
        <v>599369.18653296807</v>
      </c>
      <c r="K8" s="23">
        <f>'Resid Cust Fcst '!$D9*'Resid TSM UC Adj'!K8</f>
        <v>492455.20269196591</v>
      </c>
      <c r="L8" s="23">
        <f>'Resid Cust Fcst '!$D9*'Resid TSM UC Adj'!L8</f>
        <v>243686.54</v>
      </c>
      <c r="M8" s="45">
        <f>IF(SUM(J8:L8)=0,0,SUM(J8:L8)/'Resid Cust Fcst '!D9)</f>
        <v>2045.1928472051056</v>
      </c>
      <c r="N8" s="137">
        <f>'Resid Cust Fcst '!$E9*'Resid TSM UC Adj'!N8</f>
        <v>12992.675379086093</v>
      </c>
      <c r="O8" s="23">
        <f>'Resid Cust Fcst '!$E9*'Resid TSM UC Adj'!O8</f>
        <v>9049.7127600361273</v>
      </c>
      <c r="P8" s="23">
        <f>'Resid Cust Fcst '!$E9*'Resid TSM UC Adj'!P8</f>
        <v>4478.16</v>
      </c>
      <c r="Q8" s="45">
        <f>IF(SUM(N8:P8)=0,0,SUM(N8:P8)/'Resid Cust Fcst '!E9)</f>
        <v>2210.045678260185</v>
      </c>
      <c r="R8" s="137">
        <f t="shared" ref="R8:R37" si="2">B8+F8+J8+N8</f>
        <v>486188733.13890928</v>
      </c>
      <c r="S8" s="23">
        <f t="shared" si="0"/>
        <v>87921920.394801781</v>
      </c>
      <c r="T8" s="23">
        <f t="shared" si="0"/>
        <v>155299762.10606787</v>
      </c>
      <c r="U8" s="45">
        <f>IF(SUM(R8:T8)=0,0,SUM(R8:T8)/'Resid Cust Fcst '!F9)</f>
        <v>1157.3166877792958</v>
      </c>
      <c r="V8" s="137">
        <f>'Resid Cust Fcst '!$G9*'Resid TSM UC Adj'!R8</f>
        <v>0</v>
      </c>
      <c r="W8" s="23">
        <f>'Resid Cust Fcst '!$G9*'Resid TSM UC Adj'!S8</f>
        <v>0</v>
      </c>
      <c r="X8" s="23">
        <f>'Resid Cust Fcst '!$G9*'Resid TSM UC Adj'!T8</f>
        <v>0</v>
      </c>
      <c r="Y8" s="45">
        <f>IF(SUM(V8:X8)=0,0,SUM(V8:X8)/'Resid Cust Fcst '!G9)</f>
        <v>0</v>
      </c>
      <c r="Z8" s="137">
        <f t="shared" ref="Z8:Z37" si="3">R8+V8</f>
        <v>486188733.13890928</v>
      </c>
      <c r="AA8" s="23">
        <f t="shared" si="1"/>
        <v>87921920.394801781</v>
      </c>
      <c r="AB8" s="23">
        <f t="shared" si="1"/>
        <v>155299762.10606787</v>
      </c>
      <c r="AC8" s="45">
        <f>IF(SUM(Z8:AB8)=0,0,SUM(Z8:AB8)/'Resid Cust Fcst '!H9)</f>
        <v>1157.3166877792958</v>
      </c>
    </row>
    <row r="9" spans="1:31">
      <c r="A9" s="155" t="s">
        <v>7</v>
      </c>
      <c r="B9" s="137">
        <f>'Resid Cust Fcst '!$B10*'Resid TSM UC Adj'!B9</f>
        <v>155043830.94686264</v>
      </c>
      <c r="C9" s="23">
        <f>'Resid Cust Fcst '!$B10*'Resid TSM UC Adj'!C9</f>
        <v>44922028.679216787</v>
      </c>
      <c r="D9" s="23">
        <f>'Resid Cust Fcst '!$B10*'Resid TSM UC Adj'!D9</f>
        <v>56575391.153203622</v>
      </c>
      <c r="E9" s="45">
        <f>IF(SUM(B9:D9)=0,0,SUM(B9:D9)/'Resid Cust Fcst '!B10)</f>
        <v>1116.5910094243541</v>
      </c>
      <c r="F9" s="137">
        <f>'Resid Cust Fcst '!$C10*'Resid TSM UC Adj'!F9</f>
        <v>116974.5400891286</v>
      </c>
      <c r="G9" s="23">
        <f>'Resid Cust Fcst '!$C10*'Resid TSM UC Adj'!G9</f>
        <v>59515.136897017393</v>
      </c>
      <c r="H9" s="23">
        <f>'Resid Cust Fcst '!$C10*'Resid TSM UC Adj'!H9</f>
        <v>25003.06</v>
      </c>
      <c r="I9" s="45">
        <f>IF(SUM(F9:H9)=0,0,SUM(F9:H9)/'Resid Cust Fcst '!C10)</f>
        <v>3007.3542833753131</v>
      </c>
      <c r="J9" s="137">
        <f>'Resid Cust Fcst '!$D10*'Resid TSM UC Adj'!J9</f>
        <v>468113.75977306848</v>
      </c>
      <c r="K9" s="23">
        <f>'Resid Cust Fcst '!$D10*'Resid TSM UC Adj'!K9</f>
        <v>226512.83445879753</v>
      </c>
      <c r="L9" s="23">
        <f>'Resid Cust Fcst '!$D10*'Resid TSM UC Adj'!L9</f>
        <v>95160.900000000009</v>
      </c>
      <c r="M9" s="45">
        <f>IF(SUM(J9:L9)=0,0,SUM(J9:L9)/'Resid Cust Fcst '!D10)</f>
        <v>3097.2058597328082</v>
      </c>
      <c r="N9" s="137">
        <f>'Resid Cust Fcst '!$E10*'Resid TSM UC Adj'!N9</f>
        <v>15836.27499737106</v>
      </c>
      <c r="O9" s="23">
        <f>'Resid Cust Fcst '!$E10*'Resid TSM UC Adj'!O9</f>
        <v>7106.2850026289425</v>
      </c>
      <c r="P9" s="23">
        <f>'Resid Cust Fcst '!$E10*'Resid TSM UC Adj'!P9</f>
        <v>2985.44</v>
      </c>
      <c r="Q9" s="45">
        <f>IF(SUM(N9:P9)=0,0,SUM(N9:P9)/'Resid Cust Fcst '!E10)</f>
        <v>3241</v>
      </c>
      <c r="R9" s="137">
        <f t="shared" si="2"/>
        <v>155644755.52172223</v>
      </c>
      <c r="S9" s="23">
        <f t="shared" si="0"/>
        <v>45215162.935575232</v>
      </c>
      <c r="T9" s="23">
        <f t="shared" si="0"/>
        <v>56698540.55320362</v>
      </c>
      <c r="U9" s="45">
        <f>IF(SUM(R9:T9)=0,0,SUM(R9:T9)/'Resid Cust Fcst '!F10)</f>
        <v>1119.4105587980957</v>
      </c>
      <c r="V9" s="137">
        <f>'Resid Cust Fcst '!$G10*'Resid TSM UC Adj'!R9</f>
        <v>0</v>
      </c>
      <c r="W9" s="23">
        <f>'Resid Cust Fcst '!$G10*'Resid TSM UC Adj'!S9</f>
        <v>0</v>
      </c>
      <c r="X9" s="23">
        <f>'Resid Cust Fcst '!$G10*'Resid TSM UC Adj'!T9</f>
        <v>0</v>
      </c>
      <c r="Y9" s="45">
        <f>IF(SUM(V9:X9)=0,0,SUM(V9:X9)/'Resid Cust Fcst '!G10)</f>
        <v>0</v>
      </c>
      <c r="Z9" s="137">
        <f t="shared" si="3"/>
        <v>155644755.52172223</v>
      </c>
      <c r="AA9" s="23">
        <f t="shared" si="1"/>
        <v>45215162.935575232</v>
      </c>
      <c r="AB9" s="23">
        <f t="shared" si="1"/>
        <v>56698540.55320362</v>
      </c>
      <c r="AC9" s="45">
        <f>IF(SUM(Z9:AB9)=0,0,SUM(Z9:AB9)/'Resid Cust Fcst '!H10)</f>
        <v>1119.4105587980957</v>
      </c>
    </row>
    <row r="10" spans="1:31" s="58" customFormat="1">
      <c r="A10" s="288" t="s">
        <v>124</v>
      </c>
      <c r="B10" s="137">
        <f>'Resid Cust Fcst '!$B11*'Resid TSM UC Adj'!B10</f>
        <v>46845028.407206446</v>
      </c>
      <c r="C10" s="23">
        <f>'Resid Cust Fcst '!$B11*'Resid TSM UC Adj'!C10</f>
        <v>7418416.9829968112</v>
      </c>
      <c r="D10" s="23">
        <f>'Resid Cust Fcst '!$B11*'Resid TSM UC Adj'!D10</f>
        <v>8546859.9090180993</v>
      </c>
      <c r="E10" s="45">
        <f>IF(SUM(B10:D10)=0,0,SUM(B10:D10)/'Resid Cust Fcst '!B11)</f>
        <v>1809.6258981595943</v>
      </c>
      <c r="F10" s="137">
        <f>'Resid Cust Fcst '!$C11*'Resid TSM UC Adj'!F10</f>
        <v>33652.084369413489</v>
      </c>
      <c r="G10" s="23">
        <f>'Resid Cust Fcst '!$C11*'Resid TSM UC Adj'!G10</f>
        <v>15100.855630586502</v>
      </c>
      <c r="H10" s="23">
        <f>'Resid Cust Fcst '!$C11*'Resid TSM UC Adj'!H10</f>
        <v>6344.06</v>
      </c>
      <c r="I10" s="45">
        <f>IF(SUM(F10:H10)=0,0,SUM(F10:H10)/'Resid Cust Fcst '!C11)</f>
        <v>3240.9999999999991</v>
      </c>
      <c r="J10" s="137">
        <f>'Resid Cust Fcst '!$D11*'Resid TSM UC Adj'!J10</f>
        <v>83140.443736198024</v>
      </c>
      <c r="K10" s="23">
        <f>'Resid Cust Fcst '!$D11*'Resid TSM UC Adj'!K10</f>
        <v>37307.99626380195</v>
      </c>
      <c r="L10" s="23">
        <f>'Resid Cust Fcst '!$D11*'Resid TSM UC Adj'!L10</f>
        <v>15673.56</v>
      </c>
      <c r="M10" s="45">
        <f>IF(SUM(J10:L10)=0,0,SUM(J10:L10)/'Resid Cust Fcst '!D11)</f>
        <v>3240.9999999999991</v>
      </c>
      <c r="N10" s="137">
        <f>'Resid Cust Fcst '!$E11*'Resid TSM UC Adj'!N10</f>
        <v>3959.0687493427631</v>
      </c>
      <c r="O10" s="23">
        <f>'Resid Cust Fcst '!$E11*'Resid TSM UC Adj'!O10</f>
        <v>1776.5712506572356</v>
      </c>
      <c r="P10" s="23">
        <f>'Resid Cust Fcst '!$E11*'Resid TSM UC Adj'!P10</f>
        <v>746.36</v>
      </c>
      <c r="Q10" s="45">
        <f>IF(SUM(N10:P10)=0,0,SUM(N10:P10)/'Resid Cust Fcst '!E11)</f>
        <v>3240.9999999999991</v>
      </c>
      <c r="R10" s="137">
        <f t="shared" si="2"/>
        <v>46965780.004061401</v>
      </c>
      <c r="S10" s="23">
        <f t="shared" si="0"/>
        <v>7472602.4061418576</v>
      </c>
      <c r="T10" s="23">
        <f t="shared" si="0"/>
        <v>8569623.8890180998</v>
      </c>
      <c r="U10" s="45">
        <f>IF(SUM(R10:T10)=0,0,SUM(R10:T10)/'Resid Cust Fcst '!F11)</f>
        <v>1812.1370807944018</v>
      </c>
      <c r="V10" s="137">
        <f>'Resid Cust Fcst '!$G11*'Resid TSM UC Adj'!R10</f>
        <v>0</v>
      </c>
      <c r="W10" s="23">
        <f>'Resid Cust Fcst '!$G11*'Resid TSM UC Adj'!S10</f>
        <v>0</v>
      </c>
      <c r="X10" s="23">
        <f>'Resid Cust Fcst '!$G11*'Resid TSM UC Adj'!T10</f>
        <v>0</v>
      </c>
      <c r="Y10" s="45">
        <f>IF(SUM(V10:X10)=0,0,SUM(V10:X10)/'Resid Cust Fcst '!G11)</f>
        <v>0</v>
      </c>
      <c r="Z10" s="137">
        <f t="shared" si="3"/>
        <v>46965780.004061401</v>
      </c>
      <c r="AA10" s="23">
        <f t="shared" si="1"/>
        <v>7472602.4061418576</v>
      </c>
      <c r="AB10" s="23">
        <f t="shared" si="1"/>
        <v>8569623.8890180998</v>
      </c>
      <c r="AC10" s="45">
        <f>IF(SUM(Z10:AB10)=0,0,SUM(Z10:AB10)/'Resid Cust Fcst '!H11)</f>
        <v>1812.1370807944018</v>
      </c>
    </row>
    <row r="11" spans="1:31">
      <c r="A11" s="153" t="s">
        <v>116</v>
      </c>
      <c r="B11" s="137">
        <f>'Resid Cust Fcst '!$B12*'Resid TSM UC Adj'!B11</f>
        <v>5117875.701406749</v>
      </c>
      <c r="C11" s="23">
        <f>'Resid Cust Fcst '!$B12*'Resid TSM UC Adj'!C11</f>
        <v>810470.97869497561</v>
      </c>
      <c r="D11" s="23">
        <f>'Resid Cust Fcst '!$B12*'Resid TSM UC Adj'!D11</f>
        <v>933754.72571945703</v>
      </c>
      <c r="E11" s="45">
        <f>IF(SUM(B11:D11)=0,0,SUM(B11:D11)/'Resid Cust Fcst '!B12)</f>
        <v>1809.6258981595943</v>
      </c>
      <c r="F11" s="137">
        <f>'Resid Cust Fcst '!$C12*'Resid TSM UC Adj'!F11</f>
        <v>3959.0687493427631</v>
      </c>
      <c r="G11" s="23">
        <f>'Resid Cust Fcst '!$C12*'Resid TSM UC Adj'!G11</f>
        <v>1776.5712506572356</v>
      </c>
      <c r="H11" s="23">
        <f>'Resid Cust Fcst '!$C12*'Resid TSM UC Adj'!H11</f>
        <v>746.36</v>
      </c>
      <c r="I11" s="45">
        <f>IF(SUM(F11:H11)=0,0,SUM(F11:H11)/'Resid Cust Fcst '!C12)</f>
        <v>3240.9999999999991</v>
      </c>
      <c r="J11" s="137">
        <f>'Resid Cust Fcst '!$D12*'Resid TSM UC Adj'!J11</f>
        <v>17815.809372042433</v>
      </c>
      <c r="K11" s="23">
        <f>'Resid Cust Fcst '!$D12*'Resid TSM UC Adj'!K11</f>
        <v>7994.5706279575606</v>
      </c>
      <c r="L11" s="23">
        <f>'Resid Cust Fcst '!$D12*'Resid TSM UC Adj'!L11</f>
        <v>3358.62</v>
      </c>
      <c r="M11" s="45">
        <f>IF(SUM(J11:L11)=0,0,SUM(J11:L11)/'Resid Cust Fcst '!D12)</f>
        <v>3240.9999999999991</v>
      </c>
      <c r="N11" s="137">
        <f>'Resid Cust Fcst '!$E12*'Resid TSM UC Adj'!N11</f>
        <v>0</v>
      </c>
      <c r="O11" s="23">
        <f>'Resid Cust Fcst '!$E12*'Resid TSM UC Adj'!O11</f>
        <v>0</v>
      </c>
      <c r="P11" s="23">
        <f>'Resid Cust Fcst '!$E12*'Resid TSM UC Adj'!P11</f>
        <v>0</v>
      </c>
      <c r="Q11" s="45">
        <f>IF(SUM(N11:P11)=0,0,SUM(N11:P11)/'Resid Cust Fcst '!E12)</f>
        <v>0</v>
      </c>
      <c r="R11" s="137">
        <f t="shared" si="2"/>
        <v>5139650.5795281343</v>
      </c>
      <c r="S11" s="23">
        <f t="shared" si="0"/>
        <v>820242.12057359039</v>
      </c>
      <c r="T11" s="23">
        <f t="shared" si="0"/>
        <v>937859.70571945701</v>
      </c>
      <c r="U11" s="45">
        <f>IF(SUM(R11:T11)=0,0,SUM(R11:T11)/'Resid Cust Fcst '!F12)</f>
        <v>1813.766080941673</v>
      </c>
      <c r="V11" s="137">
        <f>'Resid Cust Fcst '!$G12*'Resid TSM UC Adj'!R11</f>
        <v>0</v>
      </c>
      <c r="W11" s="23">
        <f>'Resid Cust Fcst '!$G12*'Resid TSM UC Adj'!S11</f>
        <v>0</v>
      </c>
      <c r="X11" s="23">
        <f>'Resid Cust Fcst '!$G12*'Resid TSM UC Adj'!T11</f>
        <v>0</v>
      </c>
      <c r="Y11" s="45">
        <f>IF(SUM(V11:X11)=0,0,SUM(V11:X11)/'Resid Cust Fcst '!G12)</f>
        <v>0</v>
      </c>
      <c r="Z11" s="137">
        <f t="shared" si="3"/>
        <v>5139650.5795281343</v>
      </c>
      <c r="AA11" s="23">
        <f t="shared" si="1"/>
        <v>820242.12057359039</v>
      </c>
      <c r="AB11" s="23">
        <f t="shared" si="1"/>
        <v>937859.70571945701</v>
      </c>
      <c r="AC11" s="45">
        <f>IF(SUM(Z11:AB11)=0,0,SUM(Z11:AB11)/'Resid Cust Fcst '!H12)</f>
        <v>1813.766080941673</v>
      </c>
    </row>
    <row r="12" spans="1:31">
      <c r="A12" s="153" t="s">
        <v>8</v>
      </c>
      <c r="B12" s="137">
        <f>'Resid Cust Fcst '!$B13*'Resid TSM UC Adj'!B12</f>
        <v>3907796.5139385485</v>
      </c>
      <c r="C12" s="23">
        <f>'Resid Cust Fcst '!$B13*'Resid TSM UC Adj'!C12</f>
        <v>1388674.6229069578</v>
      </c>
      <c r="D12" s="23">
        <f>'Resid Cust Fcst '!$B13*'Resid TSM UC Adj'!D12</f>
        <v>663625.78739819</v>
      </c>
      <c r="E12" s="45">
        <f>IF(SUM(B12:D12)=0,0,SUM(B12:D12)/'Resid Cust Fcst '!B13)</f>
        <v>2211.5387474002587</v>
      </c>
      <c r="F12" s="137">
        <f>'Resid Cust Fcst '!$C13*'Resid TSM UC Adj'!F12</f>
        <v>5133.7457520605039</v>
      </c>
      <c r="G12" s="23">
        <f>'Resid Cust Fcst '!$C13*'Resid TSM UC Adj'!G12</f>
        <v>3469.7142479394965</v>
      </c>
      <c r="H12" s="23">
        <f>'Resid Cust Fcst '!$C13*'Resid TSM UC Adj'!H12</f>
        <v>1119.54</v>
      </c>
      <c r="I12" s="45">
        <f>IF(SUM(F12:H12)=0,0,SUM(F12:H12)/'Resid Cust Fcst '!C13)</f>
        <v>3241</v>
      </c>
      <c r="J12" s="137">
        <f>'Resid Cust Fcst '!$D13*'Resid TSM UC Adj'!J12</f>
        <v>34224.97168040336</v>
      </c>
      <c r="K12" s="23">
        <f>'Resid Cust Fcst '!$D13*'Resid TSM UC Adj'!K12</f>
        <v>23131.428319596642</v>
      </c>
      <c r="L12" s="23">
        <f>'Resid Cust Fcst '!$D13*'Resid TSM UC Adj'!L12</f>
        <v>7463.6</v>
      </c>
      <c r="M12" s="45">
        <f>IF(SUM(J12:L12)=0,0,SUM(J12:L12)/'Resid Cust Fcst '!D13)</f>
        <v>3241</v>
      </c>
      <c r="N12" s="137">
        <f>'Resid Cust Fcst '!$E13*'Resid TSM UC Adj'!N12</f>
        <v>3422.497168040336</v>
      </c>
      <c r="O12" s="23">
        <f>'Resid Cust Fcst '!$E13*'Resid TSM UC Adj'!O12</f>
        <v>2313.1428319596644</v>
      </c>
      <c r="P12" s="23">
        <f>'Resid Cust Fcst '!$E13*'Resid TSM UC Adj'!P12</f>
        <v>746.36</v>
      </c>
      <c r="Q12" s="45">
        <f>IF(SUM(N12:P12)=0,0,SUM(N12:P12)/'Resid Cust Fcst '!E13)</f>
        <v>3241</v>
      </c>
      <c r="R12" s="137">
        <f t="shared" si="2"/>
        <v>3950577.7285390524</v>
      </c>
      <c r="S12" s="23">
        <f t="shared" si="0"/>
        <v>1417588.9083064536</v>
      </c>
      <c r="T12" s="23">
        <f t="shared" si="0"/>
        <v>672955.28739819</v>
      </c>
      <c r="U12" s="45">
        <f>IF(SUM(R12:T12)=0,0,SUM(R12:T12)/'Resid Cust Fcst '!F13)</f>
        <v>2221.0007074425353</v>
      </c>
      <c r="V12" s="137">
        <f>'Resid Cust Fcst '!$G13*'Resid TSM UC Adj'!R12</f>
        <v>0</v>
      </c>
      <c r="W12" s="23">
        <f>'Resid Cust Fcst '!$G13*'Resid TSM UC Adj'!S12</f>
        <v>0</v>
      </c>
      <c r="X12" s="23">
        <f>'Resid Cust Fcst '!$G13*'Resid TSM UC Adj'!T12</f>
        <v>0</v>
      </c>
      <c r="Y12" s="45">
        <f>IF(SUM(V12:X12)=0,0,SUM(V12:X12)/'Resid Cust Fcst '!G13)</f>
        <v>0</v>
      </c>
      <c r="Z12" s="137">
        <f t="shared" si="3"/>
        <v>3950577.7285390524</v>
      </c>
      <c r="AA12" s="23">
        <f t="shared" si="1"/>
        <v>1417588.9083064536</v>
      </c>
      <c r="AB12" s="23">
        <f t="shared" si="1"/>
        <v>672955.28739819</v>
      </c>
      <c r="AC12" s="45">
        <f>IF(SUM(Z12:AB12)=0,0,SUM(Z12:AB12)/'Resid Cust Fcst '!H13)</f>
        <v>2221.0007074425353</v>
      </c>
    </row>
    <row r="13" spans="1:31">
      <c r="A13" s="153" t="s">
        <v>9</v>
      </c>
      <c r="B13" s="137">
        <f>'Resid Cust Fcst '!$B14*'Resid TSM UC Adj'!B13</f>
        <v>346333.27679519868</v>
      </c>
      <c r="C13" s="23">
        <f>'Resid Cust Fcst '!$B14*'Resid TSM UC Adj'!C13</f>
        <v>132827.78963014061</v>
      </c>
      <c r="D13" s="23">
        <f>'Resid Cust Fcst '!$B14*'Resid TSM UC Adj'!D13</f>
        <v>39398.93357466063</v>
      </c>
      <c r="E13" s="45">
        <f>IF(SUM(B13:D13)=0,0,SUM(B13:D13)/'Resid Cust Fcst '!B14)</f>
        <v>3240.9999999999995</v>
      </c>
      <c r="F13" s="137">
        <f>'Resid Cust Fcst '!$C14*'Resid TSM UC Adj'!F13</f>
        <v>0</v>
      </c>
      <c r="G13" s="23">
        <f>'Resid Cust Fcst '!$C14*'Resid TSM UC Adj'!G13</f>
        <v>0</v>
      </c>
      <c r="H13" s="23">
        <f>'Resid Cust Fcst '!$C14*'Resid TSM UC Adj'!H13</f>
        <v>0</v>
      </c>
      <c r="I13" s="45">
        <f>IF(SUM(F13:H13)=0,0,SUM(F13:H13)/'Resid Cust Fcst '!C14)</f>
        <v>0</v>
      </c>
      <c r="J13" s="137">
        <f>'Resid Cust Fcst '!$D14*'Resid TSM UC Adj'!J13</f>
        <v>7604.4081482241236</v>
      </c>
      <c r="K13" s="23">
        <f>'Resid Cust Fcst '!$D14*'Resid TSM UC Adj'!K13</f>
        <v>12470.331851775874</v>
      </c>
      <c r="L13" s="23">
        <f>'Resid Cust Fcst '!$D14*'Resid TSM UC Adj'!L13</f>
        <v>2612.2600000000002</v>
      </c>
      <c r="M13" s="45">
        <f>IF(SUM(J13:L13)=0,0,SUM(J13:L13)/'Resid Cust Fcst '!D14)</f>
        <v>3241</v>
      </c>
      <c r="N13" s="137">
        <f>'Resid Cust Fcst '!$E14*'Resid TSM UC Adj'!N13</f>
        <v>0</v>
      </c>
      <c r="O13" s="23">
        <f>'Resid Cust Fcst '!$E14*'Resid TSM UC Adj'!O13</f>
        <v>0</v>
      </c>
      <c r="P13" s="23">
        <f>'Resid Cust Fcst '!$E14*'Resid TSM UC Adj'!P13</f>
        <v>0</v>
      </c>
      <c r="Q13" s="45">
        <f>IF(SUM(N13:P13)=0,0,SUM(N13:P13)/'Resid Cust Fcst '!E14)</f>
        <v>0</v>
      </c>
      <c r="R13" s="137">
        <f t="shared" si="2"/>
        <v>353937.68494342279</v>
      </c>
      <c r="S13" s="23">
        <f t="shared" si="0"/>
        <v>145298.12148191649</v>
      </c>
      <c r="T13" s="23">
        <f t="shared" si="0"/>
        <v>42011.193574660632</v>
      </c>
      <c r="U13" s="45">
        <f>IF(SUM(R13:T13)=0,0,SUM(R13:T13)/'Resid Cust Fcst '!F14)</f>
        <v>3241</v>
      </c>
      <c r="V13" s="137">
        <f>'Resid Cust Fcst '!$G14*'Resid TSM UC Adj'!R13</f>
        <v>0</v>
      </c>
      <c r="W13" s="23">
        <f>'Resid Cust Fcst '!$G14*'Resid TSM UC Adj'!S13</f>
        <v>0</v>
      </c>
      <c r="X13" s="23">
        <f>'Resid Cust Fcst '!$G14*'Resid TSM UC Adj'!T13</f>
        <v>0</v>
      </c>
      <c r="Y13" s="45">
        <f>IF(SUM(V13:X13)=0,0,SUM(V13:X13)/'Resid Cust Fcst '!G14)</f>
        <v>0</v>
      </c>
      <c r="Z13" s="137">
        <f t="shared" si="3"/>
        <v>353937.68494342279</v>
      </c>
      <c r="AA13" s="23">
        <f t="shared" si="1"/>
        <v>145298.12148191649</v>
      </c>
      <c r="AB13" s="23">
        <f t="shared" si="1"/>
        <v>42011.193574660632</v>
      </c>
      <c r="AC13" s="45">
        <f>IF(SUM(Z13:AB13)=0,0,SUM(Z13:AB13)/'Resid Cust Fcst '!H14)</f>
        <v>3241</v>
      </c>
    </row>
    <row r="14" spans="1:31">
      <c r="A14" s="153" t="s">
        <v>10</v>
      </c>
      <c r="B14" s="137">
        <f>'Resid Cust Fcst '!$B15*'Resid TSM UC Adj'!B14</f>
        <v>12746.817403034525</v>
      </c>
      <c r="C14" s="23">
        <f>'Resid Cust Fcst '!$B15*'Resid TSM UC Adj'!C14</f>
        <v>14205.992583390818</v>
      </c>
      <c r="D14" s="23">
        <f>'Resid Cust Fcst '!$B15*'Resid TSM UC Adj'!D14</f>
        <v>2216.1900135746605</v>
      </c>
      <c r="E14" s="45">
        <f>IF(SUM(B14:D14)=0,0,SUM(B14:D14)/'Resid Cust Fcst '!B15)</f>
        <v>3241.0000000000009</v>
      </c>
      <c r="F14" s="137">
        <f>'Resid Cust Fcst '!$C15*'Resid TSM UC Adj'!F14</f>
        <v>0</v>
      </c>
      <c r="G14" s="23">
        <f>'Resid Cust Fcst '!$C15*'Resid TSM UC Adj'!G14</f>
        <v>0</v>
      </c>
      <c r="H14" s="23">
        <f>'Resid Cust Fcst '!$C15*'Resid TSM UC Adj'!H14</f>
        <v>0</v>
      </c>
      <c r="I14" s="45">
        <f>IF(SUM(F14:H14)=0,0,SUM(F14:H14)/'Resid Cust Fcst '!C15)</f>
        <v>0</v>
      </c>
      <c r="J14" s="137">
        <f>'Resid Cust Fcst '!$D15*'Resid TSM UC Adj'!J14</f>
        <v>0</v>
      </c>
      <c r="K14" s="23">
        <f>'Resid Cust Fcst '!$D15*'Resid TSM UC Adj'!K14</f>
        <v>0</v>
      </c>
      <c r="L14" s="23">
        <f>'Resid Cust Fcst '!$D15*'Resid TSM UC Adj'!L14</f>
        <v>0</v>
      </c>
      <c r="M14" s="45">
        <f>IF(SUM(J14:L14)=0,0,SUM(J14:L14)/'Resid Cust Fcst '!D15)</f>
        <v>0</v>
      </c>
      <c r="N14" s="137">
        <f>'Resid Cust Fcst '!$E15*'Resid TSM UC Adj'!N14</f>
        <v>0</v>
      </c>
      <c r="O14" s="23">
        <f>'Resid Cust Fcst '!$E15*'Resid TSM UC Adj'!O14</f>
        <v>0</v>
      </c>
      <c r="P14" s="23">
        <f>'Resid Cust Fcst '!$E15*'Resid TSM UC Adj'!P14</f>
        <v>0</v>
      </c>
      <c r="Q14" s="45">
        <f>IF(SUM(N14:P14)=0,0,SUM(N14:P14)/'Resid Cust Fcst '!E15)</f>
        <v>0</v>
      </c>
      <c r="R14" s="137">
        <f t="shared" si="2"/>
        <v>12746.817403034525</v>
      </c>
      <c r="S14" s="23">
        <f t="shared" si="0"/>
        <v>14205.992583390818</v>
      </c>
      <c r="T14" s="23">
        <f t="shared" si="0"/>
        <v>2216.1900135746605</v>
      </c>
      <c r="U14" s="45">
        <f>IF(SUM(R14:T14)=0,0,SUM(R14:T14)/'Resid Cust Fcst '!F15)</f>
        <v>3241.0000000000009</v>
      </c>
      <c r="V14" s="137">
        <f>'Resid Cust Fcst '!$G15*'Resid TSM UC Adj'!R14</f>
        <v>0</v>
      </c>
      <c r="W14" s="23">
        <f>'Resid Cust Fcst '!$G15*'Resid TSM UC Adj'!S14</f>
        <v>0</v>
      </c>
      <c r="X14" s="23">
        <f>'Resid Cust Fcst '!$G15*'Resid TSM UC Adj'!T14</f>
        <v>0</v>
      </c>
      <c r="Y14" s="45">
        <f>IF(SUM(V14:X14)=0,0,SUM(V14:X14)/'Resid Cust Fcst '!G15)</f>
        <v>0</v>
      </c>
      <c r="Z14" s="137">
        <f t="shared" si="3"/>
        <v>12746.817403034525</v>
      </c>
      <c r="AA14" s="23">
        <f t="shared" si="1"/>
        <v>14205.992583390818</v>
      </c>
      <c r="AB14" s="23">
        <f t="shared" si="1"/>
        <v>2216.1900135746605</v>
      </c>
      <c r="AC14" s="45">
        <f>IF(SUM(Z14:AB14)=0,0,SUM(Z14:AB14)/'Resid Cust Fcst '!H15)</f>
        <v>3241.0000000000009</v>
      </c>
    </row>
    <row r="15" spans="1:31">
      <c r="A15" s="153" t="s">
        <v>11</v>
      </c>
      <c r="B15" s="137">
        <f>'Resid Cust Fcst '!$B16*'Resid TSM UC Adj'!B15</f>
        <v>0</v>
      </c>
      <c r="C15" s="23">
        <f>'Resid Cust Fcst '!$B16*'Resid TSM UC Adj'!C15</f>
        <v>0</v>
      </c>
      <c r="D15" s="23">
        <f>'Resid Cust Fcst '!$B16*'Resid TSM UC Adj'!D15</f>
        <v>0</v>
      </c>
      <c r="E15" s="45">
        <f>IF(SUM(B15:D15)=0,0,SUM(B15:D15)/'Resid Cust Fcst '!B16)</f>
        <v>0</v>
      </c>
      <c r="F15" s="137">
        <f>'Resid Cust Fcst '!$C16*'Resid TSM UC Adj'!F15</f>
        <v>0</v>
      </c>
      <c r="G15" s="23">
        <f>'Resid Cust Fcst '!$C16*'Resid TSM UC Adj'!G15</f>
        <v>0</v>
      </c>
      <c r="H15" s="23">
        <f>'Resid Cust Fcst '!$C16*'Resid TSM UC Adj'!H15</f>
        <v>0</v>
      </c>
      <c r="I15" s="45">
        <f>IF(SUM(F15:H15)=0,0,SUM(F15:H15)/'Resid Cust Fcst '!C16)</f>
        <v>0</v>
      </c>
      <c r="J15" s="137">
        <f>'Resid Cust Fcst '!$D16*'Resid TSM UC Adj'!J15</f>
        <v>0</v>
      </c>
      <c r="K15" s="23">
        <f>'Resid Cust Fcst '!$D16*'Resid TSM UC Adj'!K15</f>
        <v>0</v>
      </c>
      <c r="L15" s="23">
        <f>'Resid Cust Fcst '!$D16*'Resid TSM UC Adj'!L15</f>
        <v>0</v>
      </c>
      <c r="M15" s="45">
        <f>IF(SUM(J15:L15)=0,0,SUM(J15:L15)/'Resid Cust Fcst '!D16)</f>
        <v>0</v>
      </c>
      <c r="N15" s="137">
        <f>'Resid Cust Fcst '!$E16*'Resid TSM UC Adj'!N15</f>
        <v>0</v>
      </c>
      <c r="O15" s="23">
        <f>'Resid Cust Fcst '!$E16*'Resid TSM UC Adj'!O15</f>
        <v>0</v>
      </c>
      <c r="P15" s="23">
        <f>'Resid Cust Fcst '!$E16*'Resid TSM UC Adj'!P15</f>
        <v>0</v>
      </c>
      <c r="Q15" s="45">
        <f>IF(SUM(N15:P15)=0,0,SUM(N15:P15)/'Resid Cust Fcst '!E16)</f>
        <v>0</v>
      </c>
      <c r="R15" s="137">
        <f t="shared" si="2"/>
        <v>0</v>
      </c>
      <c r="S15" s="23">
        <f t="shared" si="0"/>
        <v>0</v>
      </c>
      <c r="T15" s="23">
        <f t="shared" si="0"/>
        <v>0</v>
      </c>
      <c r="U15" s="45">
        <f>IF(SUM(R15:T15)=0,0,SUM(R15:T15)/'Resid Cust Fcst '!F16)</f>
        <v>0</v>
      </c>
      <c r="V15" s="137">
        <f>'Resid Cust Fcst '!$G16*'Resid TSM UC Adj'!R15</f>
        <v>0</v>
      </c>
      <c r="W15" s="23">
        <f>'Resid Cust Fcst '!$G16*'Resid TSM UC Adj'!S15</f>
        <v>0</v>
      </c>
      <c r="X15" s="23">
        <f>'Resid Cust Fcst '!$G16*'Resid TSM UC Adj'!T15</f>
        <v>0</v>
      </c>
      <c r="Y15" s="45">
        <f>IF(SUM(V15:X15)=0,0,SUM(V15:X15)/'Resid Cust Fcst '!G16)</f>
        <v>0</v>
      </c>
      <c r="Z15" s="137">
        <f t="shared" si="3"/>
        <v>0</v>
      </c>
      <c r="AA15" s="23">
        <f t="shared" si="1"/>
        <v>0</v>
      </c>
      <c r="AB15" s="23">
        <f t="shared" si="1"/>
        <v>0</v>
      </c>
      <c r="AC15" s="45">
        <f>IF(SUM(Z15:AB15)=0,0,SUM(Z15:AB15)/'Resid Cust Fcst '!H16)</f>
        <v>0</v>
      </c>
    </row>
    <row r="16" spans="1:31">
      <c r="A16" s="153" t="s">
        <v>120</v>
      </c>
      <c r="B16" s="137">
        <f>'Resid Cust Fcst '!$B17*'Resid TSM UC Adj'!B16</f>
        <v>0</v>
      </c>
      <c r="C16" s="23">
        <f>'Resid Cust Fcst '!$B17*'Resid TSM UC Adj'!C16</f>
        <v>0</v>
      </c>
      <c r="D16" s="23">
        <f>'Resid Cust Fcst '!$B17*'Resid TSM UC Adj'!D16</f>
        <v>0</v>
      </c>
      <c r="E16" s="45">
        <f>IF(SUM(B16:D16)=0,0,SUM(B16:D16)/'Resid Cust Fcst '!B17)</f>
        <v>0</v>
      </c>
      <c r="F16" s="137">
        <f>'Resid Cust Fcst '!$C17*'Resid TSM UC Adj'!F16</f>
        <v>0</v>
      </c>
      <c r="G16" s="23">
        <f>'Resid Cust Fcst '!$C17*'Resid TSM UC Adj'!G16</f>
        <v>0</v>
      </c>
      <c r="H16" s="23">
        <f>'Resid Cust Fcst '!$C17*'Resid TSM UC Adj'!H16</f>
        <v>0</v>
      </c>
      <c r="I16" s="45">
        <f>IF(SUM(F16:H16)=0,0,SUM(F16:H16)/'Resid Cust Fcst '!C17)</f>
        <v>0</v>
      </c>
      <c r="J16" s="137">
        <f>'Resid Cust Fcst '!$D17*'Resid TSM UC Adj'!J16</f>
        <v>0</v>
      </c>
      <c r="K16" s="23">
        <f>'Resid Cust Fcst '!$D17*'Resid TSM UC Adj'!K16</f>
        <v>0</v>
      </c>
      <c r="L16" s="23">
        <f>'Resid Cust Fcst '!$D17*'Resid TSM UC Adj'!L16</f>
        <v>0</v>
      </c>
      <c r="M16" s="45">
        <f>IF(SUM(J16:L16)=0,0,SUM(J16:L16)/'Resid Cust Fcst '!D17)</f>
        <v>0</v>
      </c>
      <c r="N16" s="137">
        <f>'Resid Cust Fcst '!$E17*'Resid TSM UC Adj'!N16</f>
        <v>0</v>
      </c>
      <c r="O16" s="23">
        <f>'Resid Cust Fcst '!$E17*'Resid TSM UC Adj'!O16</f>
        <v>0</v>
      </c>
      <c r="P16" s="23">
        <f>'Resid Cust Fcst '!$E17*'Resid TSM UC Adj'!P16</f>
        <v>0</v>
      </c>
      <c r="Q16" s="45">
        <f>IF(SUM(N16:P16)=0,0,SUM(N16:P16)/'Resid Cust Fcst '!E17)</f>
        <v>0</v>
      </c>
      <c r="R16" s="137">
        <f t="shared" si="2"/>
        <v>0</v>
      </c>
      <c r="S16" s="23">
        <f t="shared" si="0"/>
        <v>0</v>
      </c>
      <c r="T16" s="23">
        <f t="shared" si="0"/>
        <v>0</v>
      </c>
      <c r="U16" s="45">
        <f>IF(SUM(R16:T16)=0,0,SUM(R16:T16)/'Resid Cust Fcst '!F17)</f>
        <v>0</v>
      </c>
      <c r="V16" s="137">
        <f>'Resid Cust Fcst '!$G17*'Resid TSM UC Adj'!R16</f>
        <v>0</v>
      </c>
      <c r="W16" s="23">
        <f>'Resid Cust Fcst '!$G17*'Resid TSM UC Adj'!S16</f>
        <v>0</v>
      </c>
      <c r="X16" s="23">
        <f>'Resid Cust Fcst '!$G17*'Resid TSM UC Adj'!T16</f>
        <v>0</v>
      </c>
      <c r="Y16" s="45">
        <f>IF(SUM(V16:X16)=0,0,SUM(V16:X16)/'Resid Cust Fcst '!G17)</f>
        <v>0</v>
      </c>
      <c r="Z16" s="137">
        <f t="shared" si="3"/>
        <v>0</v>
      </c>
      <c r="AA16" s="23">
        <f t="shared" si="1"/>
        <v>0</v>
      </c>
      <c r="AB16" s="23">
        <f t="shared" si="1"/>
        <v>0</v>
      </c>
      <c r="AC16" s="45">
        <f>IF(SUM(Z16:AB16)=0,0,SUM(Z16:AB16)/'Resid Cust Fcst '!H17)</f>
        <v>0</v>
      </c>
    </row>
    <row r="17" spans="1:29">
      <c r="A17" s="153" t="s">
        <v>121</v>
      </c>
      <c r="B17" s="137">
        <f>'Resid Cust Fcst '!$B18*'Resid TSM UC Adj'!J17</f>
        <v>0</v>
      </c>
      <c r="C17" s="23">
        <f>'Resid Cust Fcst '!$B18*'Resid TSM UC Adj'!K17</f>
        <v>0</v>
      </c>
      <c r="D17" s="23">
        <f>'Resid Cust Fcst '!$B18*'Resid TSM UC Adj'!L17</f>
        <v>0</v>
      </c>
      <c r="E17" s="45">
        <f>IF(SUM(B17:D17)=0,0,SUM(B17:D17)/'Resid Cust Fcst '!B18)</f>
        <v>0</v>
      </c>
      <c r="F17" s="137">
        <f>'Resid Cust Fcst '!$C18*'Resid TSM UC Adj'!F17</f>
        <v>0</v>
      </c>
      <c r="G17" s="23">
        <f>'Resid Cust Fcst '!$C18*'Resid TSM UC Adj'!G17</f>
        <v>0</v>
      </c>
      <c r="H17" s="23">
        <f>'Resid Cust Fcst '!$C18*'Resid TSM UC Adj'!H17</f>
        <v>0</v>
      </c>
      <c r="I17" s="45">
        <f>IF(SUM(F17:H17)=0,0,SUM(F17:H17)/'Resid Cust Fcst '!C18)</f>
        <v>0</v>
      </c>
      <c r="J17" s="137">
        <f>'Resid Cust Fcst '!$D18*'Resid TSM UC Adj'!J17</f>
        <v>0</v>
      </c>
      <c r="K17" s="23">
        <f>'Resid Cust Fcst '!$D18*'Resid TSM UC Adj'!K17</f>
        <v>0</v>
      </c>
      <c r="L17" s="23">
        <f>'Resid Cust Fcst '!$D18*'Resid TSM UC Adj'!L17</f>
        <v>0</v>
      </c>
      <c r="M17" s="45">
        <f>IF(SUM(J17:L17)=0,0,SUM(J17:L17)/'Resid Cust Fcst '!D18)</f>
        <v>0</v>
      </c>
      <c r="N17" s="137">
        <f>'Resid Cust Fcst '!$E18*'Resid TSM UC Adj'!N17</f>
        <v>0</v>
      </c>
      <c r="O17" s="23">
        <f>'Resid Cust Fcst '!$E18*'Resid TSM UC Adj'!O17</f>
        <v>0</v>
      </c>
      <c r="P17" s="23">
        <f>'Resid Cust Fcst '!$E18*'Resid TSM UC Adj'!P17</f>
        <v>0</v>
      </c>
      <c r="Q17" s="45">
        <f>IF(SUM(N17:P17)=0,0,SUM(N17:P17)/'Resid Cust Fcst '!E18)</f>
        <v>0</v>
      </c>
      <c r="R17" s="137">
        <f t="shared" si="2"/>
        <v>0</v>
      </c>
      <c r="S17" s="23">
        <f t="shared" si="0"/>
        <v>0</v>
      </c>
      <c r="T17" s="23">
        <f t="shared" si="0"/>
        <v>0</v>
      </c>
      <c r="U17" s="45">
        <f>IF(SUM(R17:T17)=0,0,SUM(R17:T17)/'Resid Cust Fcst '!F18)</f>
        <v>0</v>
      </c>
      <c r="V17" s="137">
        <f>'Resid Cust Fcst '!$G18*'Resid TSM UC Adj'!R17</f>
        <v>0</v>
      </c>
      <c r="W17" s="23">
        <f>'Resid Cust Fcst '!$G18*'Resid TSM UC Adj'!S17</f>
        <v>0</v>
      </c>
      <c r="X17" s="23">
        <f>'Resid Cust Fcst '!$G18*'Resid TSM UC Adj'!T17</f>
        <v>0</v>
      </c>
      <c r="Y17" s="45">
        <f>IF(SUM(V17:X17)=0,0,SUM(V17:X17)/'Resid Cust Fcst '!G18)</f>
        <v>0</v>
      </c>
      <c r="Z17" s="137">
        <f t="shared" si="3"/>
        <v>0</v>
      </c>
      <c r="AA17" s="23">
        <f t="shared" si="1"/>
        <v>0</v>
      </c>
      <c r="AB17" s="23">
        <f t="shared" si="1"/>
        <v>0</v>
      </c>
      <c r="AC17" s="45">
        <f>IF(SUM(Z17:AB17)=0,0,SUM(Z17:AB17)/'Resid Cust Fcst '!H18)</f>
        <v>0</v>
      </c>
    </row>
    <row r="18" spans="1:29">
      <c r="A18" s="153" t="s">
        <v>12</v>
      </c>
      <c r="B18" s="137">
        <f>'Resid Cust Fcst '!$B19*'Resid TSM UC Adj'!J18</f>
        <v>0</v>
      </c>
      <c r="C18" s="23">
        <f>'Resid Cust Fcst '!$B19*'Resid TSM UC Adj'!K18</f>
        <v>0</v>
      </c>
      <c r="D18" s="23">
        <f>'Resid Cust Fcst '!$B19*'Resid TSM UC Adj'!L18</f>
        <v>0</v>
      </c>
      <c r="E18" s="45">
        <f>IF(SUM(B18:D18)=0,0,SUM(B18:D18)/'Resid Cust Fcst '!B19)</f>
        <v>0</v>
      </c>
      <c r="F18" s="137">
        <f>'Resid Cust Fcst '!$C19*'Resid TSM UC Adj'!J18</f>
        <v>0</v>
      </c>
      <c r="G18" s="23">
        <f>'Resid Cust Fcst '!$C19*'Resid TSM UC Adj'!K18</f>
        <v>0</v>
      </c>
      <c r="H18" s="23">
        <f>'Resid Cust Fcst '!$C19*'Resid TSM UC Adj'!L18</f>
        <v>0</v>
      </c>
      <c r="I18" s="45">
        <f>IF(SUM(F18:H18)=0,0,SUM(F18:H18)/'Resid Cust Fcst '!C19)</f>
        <v>0</v>
      </c>
      <c r="J18" s="137">
        <f>'Resid Cust Fcst '!$D19*'Resid TSM UC Adj'!J18</f>
        <v>0</v>
      </c>
      <c r="K18" s="23">
        <f>'Resid Cust Fcst '!$D19*'Resid TSM UC Adj'!K18</f>
        <v>0</v>
      </c>
      <c r="L18" s="23">
        <f>'Resid Cust Fcst '!$D19*'Resid TSM UC Adj'!L18</f>
        <v>0</v>
      </c>
      <c r="M18" s="45">
        <f>IF(SUM(J18:L18)=0,0,SUM(J18:L18)/'Resid Cust Fcst '!D19)</f>
        <v>0</v>
      </c>
      <c r="N18" s="137">
        <f>'Resid Cust Fcst '!$E19*'Resid TSM UC Adj'!N18</f>
        <v>0</v>
      </c>
      <c r="O18" s="23">
        <f>'Resid Cust Fcst '!$E19*'Resid TSM UC Adj'!O18</f>
        <v>0</v>
      </c>
      <c r="P18" s="23">
        <f>'Resid Cust Fcst '!$E19*'Resid TSM UC Adj'!P18</f>
        <v>0</v>
      </c>
      <c r="Q18" s="45">
        <f>IF(SUM(N18:P18)=0,0,SUM(N18:P18)/'Resid Cust Fcst '!E19)</f>
        <v>0</v>
      </c>
      <c r="R18" s="137">
        <f t="shared" si="2"/>
        <v>0</v>
      </c>
      <c r="S18" s="23">
        <f t="shared" si="0"/>
        <v>0</v>
      </c>
      <c r="T18" s="23">
        <f t="shared" si="0"/>
        <v>0</v>
      </c>
      <c r="U18" s="45">
        <f>IF(SUM(R18:T18)=0,0,SUM(R18:T18)/'Resid Cust Fcst '!F19)</f>
        <v>0</v>
      </c>
      <c r="V18" s="137">
        <f>'Resid Cust Fcst '!$G19*'Resid TSM UC Adj'!R18</f>
        <v>0</v>
      </c>
      <c r="W18" s="23">
        <f>'Resid Cust Fcst '!$G19*'Resid TSM UC Adj'!S18</f>
        <v>0</v>
      </c>
      <c r="X18" s="23">
        <f>'Resid Cust Fcst '!$G19*'Resid TSM UC Adj'!T18</f>
        <v>0</v>
      </c>
      <c r="Y18" s="45">
        <f>IF(SUM(V18:X18)=0,0,SUM(V18:X18)/'Resid Cust Fcst '!G19)</f>
        <v>0</v>
      </c>
      <c r="Z18" s="137">
        <f t="shared" si="3"/>
        <v>0</v>
      </c>
      <c r="AA18" s="23">
        <f t="shared" si="1"/>
        <v>0</v>
      </c>
      <c r="AB18" s="23">
        <f t="shared" si="1"/>
        <v>0</v>
      </c>
      <c r="AC18" s="45">
        <f>IF(SUM(Z18:AB18)=0,0,SUM(Z18:AB18)/'Resid Cust Fcst '!H19)</f>
        <v>0</v>
      </c>
    </row>
    <row r="19" spans="1:29" s="58" customFormat="1">
      <c r="A19" s="134" t="s">
        <v>13</v>
      </c>
      <c r="B19" s="137">
        <f>'Resid Cust Fcst '!$B20*'Resid TSM UC Adj'!J19</f>
        <v>0</v>
      </c>
      <c r="C19" s="23">
        <f>'Resid Cust Fcst '!$B20*'Resid TSM UC Adj'!K19</f>
        <v>0</v>
      </c>
      <c r="D19" s="23">
        <f>'Resid Cust Fcst '!$B20*'Resid TSM UC Adj'!L19</f>
        <v>0</v>
      </c>
      <c r="E19" s="45">
        <f>IF(SUM(B19:D19)=0,0,SUM(B19:D19)/'Resid Cust Fcst '!B20)</f>
        <v>0</v>
      </c>
      <c r="F19" s="137">
        <f>'Resid Cust Fcst '!$C20*'Resid TSM UC Adj'!J19</f>
        <v>0</v>
      </c>
      <c r="G19" s="23">
        <f>'Resid Cust Fcst '!$C20*'Resid TSM UC Adj'!K19</f>
        <v>0</v>
      </c>
      <c r="H19" s="23">
        <f>'Resid Cust Fcst '!$C20*'Resid TSM UC Adj'!L19</f>
        <v>0</v>
      </c>
      <c r="I19" s="45">
        <f>IF(SUM(F19:H19)=0,0,SUM(F19:H19)/'Resid Cust Fcst '!C20)</f>
        <v>0</v>
      </c>
      <c r="J19" s="137">
        <f>'Resid Cust Fcst '!$D20*'Resid TSM UC Adj'!J19</f>
        <v>0</v>
      </c>
      <c r="K19" s="23">
        <f>'Resid Cust Fcst '!$D20*'Resid TSM UC Adj'!K19</f>
        <v>0</v>
      </c>
      <c r="L19" s="23">
        <f>'Resid Cust Fcst '!$D20*'Resid TSM UC Adj'!L19</f>
        <v>0</v>
      </c>
      <c r="M19" s="45">
        <f>IF(SUM(J19:L19)=0,0,SUM(J19:L19)/'Resid Cust Fcst '!D20)</f>
        <v>0</v>
      </c>
      <c r="N19" s="137">
        <f>'Resid Cust Fcst '!$E20*'Resid TSM UC Adj'!N19</f>
        <v>0</v>
      </c>
      <c r="O19" s="23">
        <f>'Resid Cust Fcst '!$E20*'Resid TSM UC Adj'!O19</f>
        <v>0</v>
      </c>
      <c r="P19" s="23">
        <f>'Resid Cust Fcst '!$E20*'Resid TSM UC Adj'!P19</f>
        <v>0</v>
      </c>
      <c r="Q19" s="45">
        <f>IF(SUM(N19:P19)=0,0,SUM(N19:P19)/'Resid Cust Fcst '!E20)</f>
        <v>0</v>
      </c>
      <c r="R19" s="137">
        <f t="shared" si="2"/>
        <v>0</v>
      </c>
      <c r="S19" s="23">
        <f t="shared" si="0"/>
        <v>0</v>
      </c>
      <c r="T19" s="23">
        <f t="shared" si="0"/>
        <v>0</v>
      </c>
      <c r="U19" s="45">
        <f>IF(SUM(R19:T19)=0,0,SUM(R19:T19)/'Resid Cust Fcst '!F20)</f>
        <v>0</v>
      </c>
      <c r="V19" s="137">
        <f>'Resid Cust Fcst '!$G20*'Resid TSM UC Adj'!R19</f>
        <v>0</v>
      </c>
      <c r="W19" s="23">
        <f>'Resid Cust Fcst '!$G20*'Resid TSM UC Adj'!S19</f>
        <v>0</v>
      </c>
      <c r="X19" s="23">
        <f>'Resid Cust Fcst '!$G20*'Resid TSM UC Adj'!T19</f>
        <v>0</v>
      </c>
      <c r="Y19" s="45">
        <f>IF(SUM(V19:X19)=0,0,SUM(V19:X19)/'Resid Cust Fcst '!G20)</f>
        <v>0</v>
      </c>
      <c r="Z19" s="137">
        <f t="shared" si="3"/>
        <v>0</v>
      </c>
      <c r="AA19" s="23">
        <f t="shared" si="1"/>
        <v>0</v>
      </c>
      <c r="AB19" s="23">
        <f t="shared" si="1"/>
        <v>0</v>
      </c>
      <c r="AC19" s="45">
        <f>IF(SUM(Z19:AB19)=0,0,SUM(Z19:AB19)/'Resid Cust Fcst '!H20)</f>
        <v>0</v>
      </c>
    </row>
    <row r="20" spans="1:29">
      <c r="A20" s="153" t="s">
        <v>122</v>
      </c>
      <c r="B20" s="137">
        <f>'Resid Cust Fcst '!$B21*'Resid TSM UC Adj'!J20</f>
        <v>0</v>
      </c>
      <c r="C20" s="23">
        <f>'Resid Cust Fcst '!$B21*'Resid TSM UC Adj'!K20</f>
        <v>0</v>
      </c>
      <c r="D20" s="23">
        <f>'Resid Cust Fcst '!$B21*'Resid TSM UC Adj'!L20</f>
        <v>0</v>
      </c>
      <c r="E20" s="45">
        <f>IF(SUM(B20:D20)=0,0,SUM(B20:D20)/'Resid Cust Fcst '!B21)</f>
        <v>0</v>
      </c>
      <c r="F20" s="137">
        <f>'Resid Cust Fcst '!$C21*'Resid TSM UC Adj'!J20</f>
        <v>0</v>
      </c>
      <c r="G20" s="23">
        <f>'Resid Cust Fcst '!$C21*'Resid TSM UC Adj'!K20</f>
        <v>0</v>
      </c>
      <c r="H20" s="23">
        <f>'Resid Cust Fcst '!$C21*'Resid TSM UC Adj'!L20</f>
        <v>0</v>
      </c>
      <c r="I20" s="45">
        <f>IF(SUM(F20:H20)=0,0,SUM(F20:H20)/'Resid Cust Fcst '!C21)</f>
        <v>0</v>
      </c>
      <c r="J20" s="137">
        <f>'Resid Cust Fcst '!$D21*'Resid TSM UC Adj'!J20</f>
        <v>0</v>
      </c>
      <c r="K20" s="23">
        <f>'Resid Cust Fcst '!$D21*'Resid TSM UC Adj'!K20</f>
        <v>0</v>
      </c>
      <c r="L20" s="23">
        <f>'Resid Cust Fcst '!$D21*'Resid TSM UC Adj'!L20</f>
        <v>0</v>
      </c>
      <c r="M20" s="45">
        <f>IF(SUM(J20:L20)=0,0,SUM(J20:L20)/'Resid Cust Fcst '!D21)</f>
        <v>0</v>
      </c>
      <c r="N20" s="137">
        <f>'Resid Cust Fcst '!$E21*'Resid TSM UC Adj'!N20</f>
        <v>0</v>
      </c>
      <c r="O20" s="23">
        <f>'Resid Cust Fcst '!$E21*'Resid TSM UC Adj'!O20</f>
        <v>0</v>
      </c>
      <c r="P20" s="23">
        <f>'Resid Cust Fcst '!$E21*'Resid TSM UC Adj'!P20</f>
        <v>0</v>
      </c>
      <c r="Q20" s="45">
        <f>IF(SUM(N20:P20)=0,0,SUM(N20:P20)/'Resid Cust Fcst '!E21)</f>
        <v>0</v>
      </c>
      <c r="R20" s="137">
        <f t="shared" si="2"/>
        <v>0</v>
      </c>
      <c r="S20" s="23">
        <f t="shared" si="0"/>
        <v>0</v>
      </c>
      <c r="T20" s="23">
        <f t="shared" si="0"/>
        <v>0</v>
      </c>
      <c r="U20" s="45">
        <f>IF(SUM(R20:T20)=0,0,SUM(R20:T20)/'Resid Cust Fcst '!F21)</f>
        <v>0</v>
      </c>
      <c r="V20" s="137">
        <f>'Resid Cust Fcst '!$G21*'Resid TSM UC Adj'!R20</f>
        <v>0</v>
      </c>
      <c r="W20" s="23">
        <f>'Resid Cust Fcst '!$G21*'Resid TSM UC Adj'!S20</f>
        <v>0</v>
      </c>
      <c r="X20" s="23">
        <f>'Resid Cust Fcst '!$G21*'Resid TSM UC Adj'!T20</f>
        <v>0</v>
      </c>
      <c r="Y20" s="45">
        <f>IF(SUM(V20:X20)=0,0,SUM(V20:X20)/'Resid Cust Fcst '!G21)</f>
        <v>0</v>
      </c>
      <c r="Z20" s="137">
        <f t="shared" si="3"/>
        <v>0</v>
      </c>
      <c r="AA20" s="23">
        <f t="shared" si="1"/>
        <v>0</v>
      </c>
      <c r="AB20" s="23">
        <f t="shared" si="1"/>
        <v>0</v>
      </c>
      <c r="AC20" s="45">
        <f>IF(SUM(Z20:AB20)=0,0,SUM(Z20:AB20)/'Resid Cust Fcst '!H21)</f>
        <v>0</v>
      </c>
    </row>
    <row r="21" spans="1:29">
      <c r="A21" s="153" t="s">
        <v>123</v>
      </c>
      <c r="B21" s="137">
        <f>'Resid Cust Fcst '!$B22*'Resid TSM UC Adj'!J21</f>
        <v>0</v>
      </c>
      <c r="C21" s="23">
        <f>'Resid Cust Fcst '!$B22*'Resid TSM UC Adj'!K21</f>
        <v>0</v>
      </c>
      <c r="D21" s="23">
        <f>'Resid Cust Fcst '!$B22*'Resid TSM UC Adj'!L21</f>
        <v>0</v>
      </c>
      <c r="E21" s="45">
        <f>IF(SUM(B21:D21)=0,0,SUM(B21:D21)/'Resid Cust Fcst '!B22)</f>
        <v>0</v>
      </c>
      <c r="F21" s="137">
        <f>'Resid Cust Fcst '!$C22*'Resid TSM UC Adj'!J21</f>
        <v>0</v>
      </c>
      <c r="G21" s="23">
        <f>'Resid Cust Fcst '!$C22*'Resid TSM UC Adj'!K21</f>
        <v>0</v>
      </c>
      <c r="H21" s="23">
        <f>'Resid Cust Fcst '!$C22*'Resid TSM UC Adj'!L21</f>
        <v>0</v>
      </c>
      <c r="I21" s="45">
        <f>IF(SUM(F21:H21)=0,0,SUM(F21:H21)/'Resid Cust Fcst '!C22)</f>
        <v>0</v>
      </c>
      <c r="J21" s="137">
        <f>'Resid Cust Fcst '!$D22*'Resid TSM UC Adj'!J21</f>
        <v>0</v>
      </c>
      <c r="K21" s="23">
        <f>'Resid Cust Fcst '!$D22*'Resid TSM UC Adj'!K21</f>
        <v>0</v>
      </c>
      <c r="L21" s="23">
        <f>'Resid Cust Fcst '!$D22*'Resid TSM UC Adj'!L21</f>
        <v>0</v>
      </c>
      <c r="M21" s="45">
        <f>IF(SUM(J21:L21)=0,0,SUM(J21:L21)/'Resid Cust Fcst '!D22)</f>
        <v>0</v>
      </c>
      <c r="N21" s="137">
        <f>'Resid Cust Fcst '!$E22*'Resid TSM UC Adj'!N21</f>
        <v>0</v>
      </c>
      <c r="O21" s="23">
        <f>'Resid Cust Fcst '!$E22*'Resid TSM UC Adj'!O21</f>
        <v>0</v>
      </c>
      <c r="P21" s="23">
        <f>'Resid Cust Fcst '!$E22*'Resid TSM UC Adj'!P21</f>
        <v>0</v>
      </c>
      <c r="Q21" s="45">
        <f>IF(SUM(N21:P21)=0,0,SUM(N21:P21)/'Resid Cust Fcst '!E22)</f>
        <v>0</v>
      </c>
      <c r="R21" s="137">
        <f t="shared" si="2"/>
        <v>0</v>
      </c>
      <c r="S21" s="23">
        <f t="shared" si="0"/>
        <v>0</v>
      </c>
      <c r="T21" s="23">
        <f t="shared" si="0"/>
        <v>0</v>
      </c>
      <c r="U21" s="45">
        <f>IF(SUM(R21:T21)=0,0,SUM(R21:T21)/'Resid Cust Fcst '!F22)</f>
        <v>0</v>
      </c>
      <c r="V21" s="137">
        <f>'Resid Cust Fcst '!$G22*'Resid TSM UC Adj'!R21</f>
        <v>0</v>
      </c>
      <c r="W21" s="23">
        <f>'Resid Cust Fcst '!$G22*'Resid TSM UC Adj'!S21</f>
        <v>0</v>
      </c>
      <c r="X21" s="23">
        <f>'Resid Cust Fcst '!$G22*'Resid TSM UC Adj'!T21</f>
        <v>0</v>
      </c>
      <c r="Y21" s="45">
        <f>IF(SUM(V21:X21)=0,0,SUM(V21:X21)/'Resid Cust Fcst '!G22)</f>
        <v>0</v>
      </c>
      <c r="Z21" s="137">
        <f t="shared" si="3"/>
        <v>0</v>
      </c>
      <c r="AA21" s="23">
        <f t="shared" si="1"/>
        <v>0</v>
      </c>
      <c r="AB21" s="23">
        <f t="shared" si="1"/>
        <v>0</v>
      </c>
      <c r="AC21" s="45">
        <f>IF(SUM(Z21:AB21)=0,0,SUM(Z21:AB21)/'Resid Cust Fcst '!H22)</f>
        <v>0</v>
      </c>
    </row>
    <row r="22" spans="1:29">
      <c r="A22" s="153" t="s">
        <v>14</v>
      </c>
      <c r="B22" s="137">
        <f>'Resid Cust Fcst '!$B23*'Resid TSM UC Adj'!J22</f>
        <v>0</v>
      </c>
      <c r="C22" s="23">
        <f>'Resid Cust Fcst '!$B23*'Resid TSM UC Adj'!K22</f>
        <v>0</v>
      </c>
      <c r="D22" s="23">
        <f>'Resid Cust Fcst '!$B23*'Resid TSM UC Adj'!L22</f>
        <v>0</v>
      </c>
      <c r="E22" s="45">
        <f>IF(SUM(B22:D22)=0,0,SUM(B22:D22)/'Resid Cust Fcst '!B23)</f>
        <v>0</v>
      </c>
      <c r="F22" s="137">
        <f>'Resid Cust Fcst '!$C23*'Resid TSM UC Adj'!J22</f>
        <v>0</v>
      </c>
      <c r="G22" s="23">
        <f>'Resid Cust Fcst '!$C23*'Resid TSM UC Adj'!K22</f>
        <v>0</v>
      </c>
      <c r="H22" s="23">
        <f>'Resid Cust Fcst '!$C23*'Resid TSM UC Adj'!L22</f>
        <v>0</v>
      </c>
      <c r="I22" s="45">
        <f>IF(SUM(F22:H22)=0,0,SUM(F22:H22)/'Resid Cust Fcst '!C23)</f>
        <v>0</v>
      </c>
      <c r="J22" s="137">
        <f>'Resid Cust Fcst '!$D23*'Resid TSM UC Adj'!J22</f>
        <v>0</v>
      </c>
      <c r="K22" s="23">
        <f>'Resid Cust Fcst '!$D23*'Resid TSM UC Adj'!K22</f>
        <v>0</v>
      </c>
      <c r="L22" s="23">
        <f>'Resid Cust Fcst '!$D23*'Resid TSM UC Adj'!L22</f>
        <v>0</v>
      </c>
      <c r="M22" s="45">
        <f>IF(SUM(J22:L22)=0,0,SUM(J22:L22)/'Resid Cust Fcst '!D23)</f>
        <v>0</v>
      </c>
      <c r="N22" s="137">
        <f>'Resid Cust Fcst '!$E23*'Resid TSM UC Adj'!N22</f>
        <v>0</v>
      </c>
      <c r="O22" s="23">
        <f>'Resid Cust Fcst '!$E23*'Resid TSM UC Adj'!O22</f>
        <v>0</v>
      </c>
      <c r="P22" s="23">
        <f>'Resid Cust Fcst '!$E23*'Resid TSM UC Adj'!P22</f>
        <v>0</v>
      </c>
      <c r="Q22" s="45">
        <f>IF(SUM(N22:P22)=0,0,SUM(N22:P22)/'Resid Cust Fcst '!E23)</f>
        <v>0</v>
      </c>
      <c r="R22" s="137">
        <f t="shared" si="2"/>
        <v>0</v>
      </c>
      <c r="S22" s="23">
        <f t="shared" si="0"/>
        <v>0</v>
      </c>
      <c r="T22" s="23">
        <f t="shared" si="0"/>
        <v>0</v>
      </c>
      <c r="U22" s="45">
        <f>IF(SUM(R22:T22)=0,0,SUM(R22:T22)/'Resid Cust Fcst '!F23)</f>
        <v>0</v>
      </c>
      <c r="V22" s="137">
        <f>'Resid Cust Fcst '!$G23*'Resid TSM UC Adj'!R22</f>
        <v>0</v>
      </c>
      <c r="W22" s="23">
        <f>'Resid Cust Fcst '!$G23*'Resid TSM UC Adj'!S22</f>
        <v>0</v>
      </c>
      <c r="X22" s="23">
        <f>'Resid Cust Fcst '!$G23*'Resid TSM UC Adj'!T22</f>
        <v>0</v>
      </c>
      <c r="Y22" s="45">
        <f>IF(SUM(V22:X22)=0,0,SUM(V22:X22)/'Resid Cust Fcst '!G23)</f>
        <v>0</v>
      </c>
      <c r="Z22" s="137">
        <f t="shared" si="3"/>
        <v>0</v>
      </c>
      <c r="AA22" s="23">
        <f t="shared" si="1"/>
        <v>0</v>
      </c>
      <c r="AB22" s="23">
        <f t="shared" si="1"/>
        <v>0</v>
      </c>
      <c r="AC22" s="45">
        <f>IF(SUM(Z22:AB22)=0,0,SUM(Z22:AB22)/'Resid Cust Fcst '!H23)</f>
        <v>0</v>
      </c>
    </row>
    <row r="23" spans="1:29">
      <c r="A23" s="153" t="s">
        <v>15</v>
      </c>
      <c r="B23" s="137">
        <f>'Resid Cust Fcst '!$B24*'Resid TSM UC Adj'!J23</f>
        <v>0</v>
      </c>
      <c r="C23" s="23">
        <f>'Resid Cust Fcst '!$B24*'Resid TSM UC Adj'!K23</f>
        <v>0</v>
      </c>
      <c r="D23" s="23">
        <f>'Resid Cust Fcst '!$B24*'Resid TSM UC Adj'!L23</f>
        <v>0</v>
      </c>
      <c r="E23" s="45">
        <f>IF(SUM(B23:D23)=0,0,SUM(B23:D23)/'Resid Cust Fcst '!B24)</f>
        <v>0</v>
      </c>
      <c r="F23" s="137">
        <f>'Resid Cust Fcst '!$C24*'Resid TSM UC Adj'!J23</f>
        <v>0</v>
      </c>
      <c r="G23" s="23">
        <f>'Resid Cust Fcst '!$C24*'Resid TSM UC Adj'!K23</f>
        <v>0</v>
      </c>
      <c r="H23" s="23">
        <f>'Resid Cust Fcst '!$C24*'Resid TSM UC Adj'!L23</f>
        <v>0</v>
      </c>
      <c r="I23" s="45">
        <f>IF(SUM(F23:H23)=0,0,SUM(F23:H23)/'Resid Cust Fcst '!C24)</f>
        <v>0</v>
      </c>
      <c r="J23" s="137">
        <f>'Resid Cust Fcst '!$D24*'Resid TSM UC Adj'!J23</f>
        <v>0</v>
      </c>
      <c r="K23" s="23">
        <f>'Resid Cust Fcst '!$D24*'Resid TSM UC Adj'!K23</f>
        <v>0</v>
      </c>
      <c r="L23" s="23">
        <f>'Resid Cust Fcst '!$D24*'Resid TSM UC Adj'!L23</f>
        <v>0</v>
      </c>
      <c r="M23" s="45">
        <f>IF(SUM(J23:L23)=0,0,SUM(J23:L23)/'Resid Cust Fcst '!D24)</f>
        <v>0</v>
      </c>
      <c r="N23" s="137">
        <f>'Resid Cust Fcst '!$E24*'Resid TSM UC Adj'!N23</f>
        <v>0</v>
      </c>
      <c r="O23" s="23">
        <f>'Resid Cust Fcst '!$E24*'Resid TSM UC Adj'!O23</f>
        <v>0</v>
      </c>
      <c r="P23" s="23">
        <f>'Resid Cust Fcst '!$E24*'Resid TSM UC Adj'!P23</f>
        <v>0</v>
      </c>
      <c r="Q23" s="45">
        <f>IF(SUM(N23:P23)=0,0,SUM(N23:P23)/'Resid Cust Fcst '!E24)</f>
        <v>0</v>
      </c>
      <c r="R23" s="137">
        <f t="shared" si="2"/>
        <v>0</v>
      </c>
      <c r="S23" s="23">
        <f t="shared" ref="S23:S37" si="4">C23+G23+K23+O23</f>
        <v>0</v>
      </c>
      <c r="T23" s="23">
        <f t="shared" ref="T23:T37" si="5">D23+H23+L23+P23</f>
        <v>0</v>
      </c>
      <c r="U23" s="45">
        <f>IF(SUM(R23:T23)=0,0,SUM(R23:T23)/'Resid Cust Fcst '!F24)</f>
        <v>0</v>
      </c>
      <c r="V23" s="137">
        <f>'Resid Cust Fcst '!$G24*'Resid TSM UC Adj'!R23</f>
        <v>0</v>
      </c>
      <c r="W23" s="23">
        <f>'Resid Cust Fcst '!$G24*'Resid TSM UC Adj'!S23</f>
        <v>0</v>
      </c>
      <c r="X23" s="23">
        <f>'Resid Cust Fcst '!$G24*'Resid TSM UC Adj'!T23</f>
        <v>0</v>
      </c>
      <c r="Y23" s="45">
        <f>IF(SUM(V23:X23)=0,0,SUM(V23:X23)/'Resid Cust Fcst '!G24)</f>
        <v>0</v>
      </c>
      <c r="Z23" s="137">
        <f t="shared" si="3"/>
        <v>0</v>
      </c>
      <c r="AA23" s="23">
        <f t="shared" ref="AA23:AA37" si="6">S23+W23</f>
        <v>0</v>
      </c>
      <c r="AB23" s="23">
        <f t="shared" ref="AB23:AB37" si="7">T23+X23</f>
        <v>0</v>
      </c>
      <c r="AC23" s="45">
        <f>IF(SUM(Z23:AB23)=0,0,SUM(Z23:AB23)/'Resid Cust Fcst '!H24)</f>
        <v>0</v>
      </c>
    </row>
    <row r="24" spans="1:29">
      <c r="A24" s="153" t="s">
        <v>16</v>
      </c>
      <c r="B24" s="137">
        <f>'Resid Cust Fcst '!$B25*'Resid TSM UC Adj'!J24</f>
        <v>0</v>
      </c>
      <c r="C24" s="23">
        <f>'Resid Cust Fcst '!$B25*'Resid TSM UC Adj'!K24</f>
        <v>0</v>
      </c>
      <c r="D24" s="23">
        <f>'Resid Cust Fcst '!$B25*'Resid TSM UC Adj'!L24</f>
        <v>0</v>
      </c>
      <c r="E24" s="45">
        <f>IF(SUM(B24:D24)=0,0,SUM(B24:D24)/'Resid Cust Fcst '!B25)</f>
        <v>0</v>
      </c>
      <c r="F24" s="137">
        <f>'Resid Cust Fcst '!$C25*'Resid TSM UC Adj'!J24</f>
        <v>0</v>
      </c>
      <c r="G24" s="23">
        <f>'Resid Cust Fcst '!$C25*'Resid TSM UC Adj'!K24</f>
        <v>0</v>
      </c>
      <c r="H24" s="23">
        <f>'Resid Cust Fcst '!$C25*'Resid TSM UC Adj'!L24</f>
        <v>0</v>
      </c>
      <c r="I24" s="45">
        <f>IF(SUM(F24:H24)=0,0,SUM(F24:H24)/'Resid Cust Fcst '!C25)</f>
        <v>0</v>
      </c>
      <c r="J24" s="137">
        <f>'Resid Cust Fcst '!$D25*'Resid TSM UC Adj'!J24</f>
        <v>0</v>
      </c>
      <c r="K24" s="23">
        <f>'Resid Cust Fcst '!$D25*'Resid TSM UC Adj'!K24</f>
        <v>0</v>
      </c>
      <c r="L24" s="23">
        <f>'Resid Cust Fcst '!$D25*'Resid TSM UC Adj'!L24</f>
        <v>0</v>
      </c>
      <c r="M24" s="45">
        <f>IF(SUM(J24:L24)=0,0,SUM(J24:L24)/'Resid Cust Fcst '!D25)</f>
        <v>0</v>
      </c>
      <c r="N24" s="137">
        <f>'Resid Cust Fcst '!$E25*'Resid TSM UC Adj'!N24</f>
        <v>0</v>
      </c>
      <c r="O24" s="23">
        <f>'Resid Cust Fcst '!$E25*'Resid TSM UC Adj'!O24</f>
        <v>0</v>
      </c>
      <c r="P24" s="23">
        <f>'Resid Cust Fcst '!$E25*'Resid TSM UC Adj'!P24</f>
        <v>0</v>
      </c>
      <c r="Q24" s="45">
        <f>IF(SUM(N24:P24)=0,0,SUM(N24:P24)/'Resid Cust Fcst '!E25)</f>
        <v>0</v>
      </c>
      <c r="R24" s="137">
        <f t="shared" si="2"/>
        <v>0</v>
      </c>
      <c r="S24" s="23">
        <f t="shared" si="4"/>
        <v>0</v>
      </c>
      <c r="T24" s="23">
        <f t="shared" si="5"/>
        <v>0</v>
      </c>
      <c r="U24" s="45">
        <f>IF(SUM(R24:T24)=0,0,SUM(R24:T24)/'Resid Cust Fcst '!F25)</f>
        <v>0</v>
      </c>
      <c r="V24" s="137">
        <f>'Resid Cust Fcst '!$G25*'Resid TSM UC Adj'!R24</f>
        <v>0</v>
      </c>
      <c r="W24" s="23">
        <f>'Resid Cust Fcst '!$G25*'Resid TSM UC Adj'!S24</f>
        <v>0</v>
      </c>
      <c r="X24" s="23">
        <f>'Resid Cust Fcst '!$G25*'Resid TSM UC Adj'!T24</f>
        <v>0</v>
      </c>
      <c r="Y24" s="45">
        <f>IF(SUM(V24:X24)=0,0,SUM(V24:X24)/'Resid Cust Fcst '!G25)</f>
        <v>0</v>
      </c>
      <c r="Z24" s="137">
        <f t="shared" si="3"/>
        <v>0</v>
      </c>
      <c r="AA24" s="23">
        <f t="shared" si="6"/>
        <v>0</v>
      </c>
      <c r="AB24" s="23">
        <f t="shared" si="7"/>
        <v>0</v>
      </c>
      <c r="AC24" s="45">
        <f>IF(SUM(Z24:AB24)=0,0,SUM(Z24:AB24)/'Resid Cust Fcst '!H25)</f>
        <v>0</v>
      </c>
    </row>
    <row r="25" spans="1:29">
      <c r="A25" s="153" t="s">
        <v>17</v>
      </c>
      <c r="B25" s="137">
        <f>'Resid Cust Fcst '!$B26*'Resid TSM UC Adj'!J25</f>
        <v>0</v>
      </c>
      <c r="C25" s="23">
        <f>'Resid Cust Fcst '!$B26*'Resid TSM UC Adj'!K25</f>
        <v>0</v>
      </c>
      <c r="D25" s="23">
        <f>'Resid Cust Fcst '!$B26*'Resid TSM UC Adj'!L25</f>
        <v>0</v>
      </c>
      <c r="E25" s="45">
        <f>IF(SUM(B25:D25)=0,0,SUM(B25:D25)/'Resid Cust Fcst '!B26)</f>
        <v>0</v>
      </c>
      <c r="F25" s="137">
        <f>'Resid Cust Fcst '!$C26*'Resid TSM UC Adj'!J25</f>
        <v>0</v>
      </c>
      <c r="G25" s="23">
        <f>'Resid Cust Fcst '!$C26*'Resid TSM UC Adj'!K25</f>
        <v>0</v>
      </c>
      <c r="H25" s="23">
        <f>'Resid Cust Fcst '!$C26*'Resid TSM UC Adj'!L25</f>
        <v>0</v>
      </c>
      <c r="I25" s="45">
        <f>IF(SUM(F25:H25)=0,0,SUM(F25:H25)/'Resid Cust Fcst '!C26)</f>
        <v>0</v>
      </c>
      <c r="J25" s="137">
        <f>'Resid Cust Fcst '!$D26*'Resid TSM UC Adj'!J25</f>
        <v>0</v>
      </c>
      <c r="K25" s="23">
        <f>'Resid Cust Fcst '!$D26*'Resid TSM UC Adj'!K25</f>
        <v>0</v>
      </c>
      <c r="L25" s="23">
        <f>'Resid Cust Fcst '!$D26*'Resid TSM UC Adj'!L25</f>
        <v>0</v>
      </c>
      <c r="M25" s="45">
        <f>IF(SUM(J25:L25)=0,0,SUM(J25:L25)/'Resid Cust Fcst '!D26)</f>
        <v>0</v>
      </c>
      <c r="N25" s="137">
        <f>'Resid Cust Fcst '!$E26*'Resid TSM UC Adj'!N25</f>
        <v>0</v>
      </c>
      <c r="O25" s="23">
        <f>'Resid Cust Fcst '!$E26*'Resid TSM UC Adj'!O25</f>
        <v>0</v>
      </c>
      <c r="P25" s="23">
        <f>'Resid Cust Fcst '!$E26*'Resid TSM UC Adj'!P25</f>
        <v>0</v>
      </c>
      <c r="Q25" s="45">
        <f>IF(SUM(N25:P25)=0,0,SUM(N25:P25)/'Resid Cust Fcst '!E26)</f>
        <v>0</v>
      </c>
      <c r="R25" s="137">
        <f t="shared" si="2"/>
        <v>0</v>
      </c>
      <c r="S25" s="23">
        <f t="shared" si="4"/>
        <v>0</v>
      </c>
      <c r="T25" s="23">
        <f t="shared" si="5"/>
        <v>0</v>
      </c>
      <c r="U25" s="45">
        <f>IF(SUM(R25:T25)=0,0,SUM(R25:T25)/'Resid Cust Fcst '!F26)</f>
        <v>0</v>
      </c>
      <c r="V25" s="137">
        <f>'Resid Cust Fcst '!$G26*'Resid TSM UC Adj'!R25</f>
        <v>0</v>
      </c>
      <c r="W25" s="23">
        <f>'Resid Cust Fcst '!$G26*'Resid TSM UC Adj'!S25</f>
        <v>0</v>
      </c>
      <c r="X25" s="23">
        <f>'Resid Cust Fcst '!$G26*'Resid TSM UC Adj'!T25</f>
        <v>0</v>
      </c>
      <c r="Y25" s="45">
        <f>IF(SUM(V25:X25)=0,0,SUM(V25:X25)/'Resid Cust Fcst '!G26)</f>
        <v>0</v>
      </c>
      <c r="Z25" s="137">
        <f t="shared" si="3"/>
        <v>0</v>
      </c>
      <c r="AA25" s="23">
        <f t="shared" si="6"/>
        <v>0</v>
      </c>
      <c r="AB25" s="23">
        <f t="shared" si="7"/>
        <v>0</v>
      </c>
      <c r="AC25" s="45">
        <f>IF(SUM(Z25:AB25)=0,0,SUM(Z25:AB25)/'Resid Cust Fcst '!H26)</f>
        <v>0</v>
      </c>
    </row>
    <row r="26" spans="1:29">
      <c r="A26" s="153" t="s">
        <v>18</v>
      </c>
      <c r="B26" s="137">
        <f>'Resid Cust Fcst '!$B27*'Resid TSM UC Adj'!J26</f>
        <v>0</v>
      </c>
      <c r="C26" s="23">
        <f>'Resid Cust Fcst '!$B27*'Resid TSM UC Adj'!K26</f>
        <v>0</v>
      </c>
      <c r="D26" s="23">
        <f>'Resid Cust Fcst '!$B27*'Resid TSM UC Adj'!L26</f>
        <v>0</v>
      </c>
      <c r="E26" s="45">
        <f>IF(SUM(B26:D26)=0,0,SUM(B26:D26)/'Resid Cust Fcst '!B27)</f>
        <v>0</v>
      </c>
      <c r="F26" s="137">
        <f>'Resid Cust Fcst '!$C27*'Resid TSM UC Adj'!J26</f>
        <v>0</v>
      </c>
      <c r="G26" s="23">
        <f>'Resid Cust Fcst '!$C27*'Resid TSM UC Adj'!K26</f>
        <v>0</v>
      </c>
      <c r="H26" s="23">
        <f>'Resid Cust Fcst '!$C27*'Resid TSM UC Adj'!L26</f>
        <v>0</v>
      </c>
      <c r="I26" s="45">
        <f>IF(SUM(F26:H26)=0,0,SUM(F26:H26)/'Resid Cust Fcst '!C27)</f>
        <v>0</v>
      </c>
      <c r="J26" s="137">
        <f>'Resid Cust Fcst '!$D27*'Resid TSM UC Adj'!J26</f>
        <v>0</v>
      </c>
      <c r="K26" s="23">
        <f>'Resid Cust Fcst '!$D27*'Resid TSM UC Adj'!K26</f>
        <v>0</v>
      </c>
      <c r="L26" s="23">
        <f>'Resid Cust Fcst '!$D27*'Resid TSM UC Adj'!L26</f>
        <v>0</v>
      </c>
      <c r="M26" s="45">
        <f>IF(SUM(J26:L26)=0,0,SUM(J26:L26)/'Resid Cust Fcst '!D27)</f>
        <v>0</v>
      </c>
      <c r="N26" s="137">
        <f>'Resid Cust Fcst '!$E27*'Resid TSM UC Adj'!N26</f>
        <v>0</v>
      </c>
      <c r="O26" s="23">
        <f>'Resid Cust Fcst '!$E27*'Resid TSM UC Adj'!O26</f>
        <v>0</v>
      </c>
      <c r="P26" s="23">
        <f>'Resid Cust Fcst '!$E27*'Resid TSM UC Adj'!P26</f>
        <v>0</v>
      </c>
      <c r="Q26" s="45">
        <f>IF(SUM(N26:P26)=0,0,SUM(N26:P26)/'Resid Cust Fcst '!E27)</f>
        <v>0</v>
      </c>
      <c r="R26" s="137">
        <f t="shared" si="2"/>
        <v>0</v>
      </c>
      <c r="S26" s="23">
        <f t="shared" si="4"/>
        <v>0</v>
      </c>
      <c r="T26" s="23">
        <f t="shared" si="5"/>
        <v>0</v>
      </c>
      <c r="U26" s="45">
        <f>IF(SUM(R26:T26)=0,0,SUM(R26:T26)/'Resid Cust Fcst '!F27)</f>
        <v>0</v>
      </c>
      <c r="V26" s="137">
        <f>'Resid Cust Fcst '!$G27*'Resid TSM UC Adj'!R26</f>
        <v>0</v>
      </c>
      <c r="W26" s="23">
        <f>'Resid Cust Fcst '!$G27*'Resid TSM UC Adj'!S26</f>
        <v>0</v>
      </c>
      <c r="X26" s="23">
        <f>'Resid Cust Fcst '!$G27*'Resid TSM UC Adj'!T26</f>
        <v>0</v>
      </c>
      <c r="Y26" s="45">
        <f>IF(SUM(V26:X26)=0,0,SUM(V26:X26)/'Resid Cust Fcst '!G27)</f>
        <v>0</v>
      </c>
      <c r="Z26" s="137">
        <f t="shared" si="3"/>
        <v>0</v>
      </c>
      <c r="AA26" s="23">
        <f t="shared" si="6"/>
        <v>0</v>
      </c>
      <c r="AB26" s="23">
        <f t="shared" si="7"/>
        <v>0</v>
      </c>
      <c r="AC26" s="45">
        <f>IF(SUM(Z26:AB26)=0,0,SUM(Z26:AB26)/'Resid Cust Fcst '!H27)</f>
        <v>0</v>
      </c>
    </row>
    <row r="27" spans="1:29">
      <c r="A27" s="153" t="s">
        <v>19</v>
      </c>
      <c r="B27" s="137">
        <f>'Resid Cust Fcst '!$B28*'Resid TSM UC Adj'!J27</f>
        <v>0</v>
      </c>
      <c r="C27" s="23">
        <f>'Resid Cust Fcst '!$B28*'Resid TSM UC Adj'!K27</f>
        <v>0</v>
      </c>
      <c r="D27" s="23">
        <f>'Resid Cust Fcst '!$B28*'Resid TSM UC Adj'!L27</f>
        <v>0</v>
      </c>
      <c r="E27" s="45">
        <f>IF(SUM(B27:D27)=0,0,SUM(B27:D27)/'Resid Cust Fcst '!B28)</f>
        <v>0</v>
      </c>
      <c r="F27" s="137">
        <f>'Resid Cust Fcst '!$C28*'Resid TSM UC Adj'!J27</f>
        <v>0</v>
      </c>
      <c r="G27" s="23">
        <f>'Resid Cust Fcst '!$C28*'Resid TSM UC Adj'!K27</f>
        <v>0</v>
      </c>
      <c r="H27" s="23">
        <f>'Resid Cust Fcst '!$C28*'Resid TSM UC Adj'!L27</f>
        <v>0</v>
      </c>
      <c r="I27" s="45">
        <f>IF(SUM(F27:H27)=0,0,SUM(F27:H27)/'Resid Cust Fcst '!C28)</f>
        <v>0</v>
      </c>
      <c r="J27" s="137">
        <f>'Resid Cust Fcst '!$D28*'Resid TSM UC Adj'!J27</f>
        <v>0</v>
      </c>
      <c r="K27" s="23">
        <f>'Resid Cust Fcst '!$D28*'Resid TSM UC Adj'!K27</f>
        <v>0</v>
      </c>
      <c r="L27" s="23">
        <f>'Resid Cust Fcst '!$D28*'Resid TSM UC Adj'!L27</f>
        <v>0</v>
      </c>
      <c r="M27" s="45">
        <f>IF(SUM(J27:L27)=0,0,SUM(J27:L27)/'Resid Cust Fcst '!D28)</f>
        <v>0</v>
      </c>
      <c r="N27" s="137">
        <f>'Resid Cust Fcst '!$E28*'Resid TSM UC Adj'!N27</f>
        <v>0</v>
      </c>
      <c r="O27" s="23">
        <f>'Resid Cust Fcst '!$E28*'Resid TSM UC Adj'!O27</f>
        <v>0</v>
      </c>
      <c r="P27" s="23">
        <f>'Resid Cust Fcst '!$E28*'Resid TSM UC Adj'!P27</f>
        <v>0</v>
      </c>
      <c r="Q27" s="45">
        <f>IF(SUM(N27:P27)=0,0,SUM(N27:P27)/'Resid Cust Fcst '!E28)</f>
        <v>0</v>
      </c>
      <c r="R27" s="137">
        <f t="shared" si="2"/>
        <v>0</v>
      </c>
      <c r="S27" s="23">
        <f t="shared" si="4"/>
        <v>0</v>
      </c>
      <c r="T27" s="23">
        <f t="shared" si="5"/>
        <v>0</v>
      </c>
      <c r="U27" s="45">
        <f>IF(SUM(R27:T27)=0,0,SUM(R27:T27)/'Resid Cust Fcst '!F28)</f>
        <v>0</v>
      </c>
      <c r="V27" s="137">
        <f>'Resid Cust Fcst '!$G28*'Resid TSM UC Adj'!R27</f>
        <v>0</v>
      </c>
      <c r="W27" s="23">
        <f>'Resid Cust Fcst '!$G28*'Resid TSM UC Adj'!S27</f>
        <v>0</v>
      </c>
      <c r="X27" s="23">
        <f>'Resid Cust Fcst '!$G28*'Resid TSM UC Adj'!T27</f>
        <v>0</v>
      </c>
      <c r="Y27" s="45">
        <f>IF(SUM(V27:X27)=0,0,SUM(V27:X27)/'Resid Cust Fcst '!G28)</f>
        <v>0</v>
      </c>
      <c r="Z27" s="137">
        <f t="shared" si="3"/>
        <v>0</v>
      </c>
      <c r="AA27" s="23">
        <f t="shared" si="6"/>
        <v>0</v>
      </c>
      <c r="AB27" s="23">
        <f t="shared" si="7"/>
        <v>0</v>
      </c>
      <c r="AC27" s="45">
        <f>IF(SUM(Z27:AB27)=0,0,SUM(Z27:AB27)/'Resid Cust Fcst '!H28)</f>
        <v>0</v>
      </c>
    </row>
    <row r="28" spans="1:29">
      <c r="A28" s="153" t="s">
        <v>20</v>
      </c>
      <c r="B28" s="137">
        <f>'Resid Cust Fcst '!$B29*'Resid TSM UC Adj'!J28</f>
        <v>0</v>
      </c>
      <c r="C28" s="23">
        <f>'Resid Cust Fcst '!$B29*'Resid TSM UC Adj'!K28</f>
        <v>0</v>
      </c>
      <c r="D28" s="23">
        <f>'Resid Cust Fcst '!$B29*'Resid TSM UC Adj'!L28</f>
        <v>0</v>
      </c>
      <c r="E28" s="45">
        <f>IF(SUM(B28:D28)=0,0,SUM(B28:D28)/'Resid Cust Fcst '!B29)</f>
        <v>0</v>
      </c>
      <c r="F28" s="137">
        <f>'Resid Cust Fcst '!$C29*'Resid TSM UC Adj'!J28</f>
        <v>0</v>
      </c>
      <c r="G28" s="23">
        <f>'Resid Cust Fcst '!$C29*'Resid TSM UC Adj'!K28</f>
        <v>0</v>
      </c>
      <c r="H28" s="23">
        <f>'Resid Cust Fcst '!$C29*'Resid TSM UC Adj'!L28</f>
        <v>0</v>
      </c>
      <c r="I28" s="45">
        <f>IF(SUM(F28:H28)=0,0,SUM(F28:H28)/'Resid Cust Fcst '!C29)</f>
        <v>0</v>
      </c>
      <c r="J28" s="137">
        <f>'Resid Cust Fcst '!$D29*'Resid TSM UC Adj'!J28</f>
        <v>0</v>
      </c>
      <c r="K28" s="23">
        <f>'Resid Cust Fcst '!$D29*'Resid TSM UC Adj'!K28</f>
        <v>0</v>
      </c>
      <c r="L28" s="23">
        <f>'Resid Cust Fcst '!$D29*'Resid TSM UC Adj'!L28</f>
        <v>0</v>
      </c>
      <c r="M28" s="45">
        <f>IF(SUM(J28:L28)=0,0,SUM(J28:L28)/'Resid Cust Fcst '!D29)</f>
        <v>0</v>
      </c>
      <c r="N28" s="137">
        <f>'Resid Cust Fcst '!$E29*'Resid TSM UC Adj'!N28</f>
        <v>0</v>
      </c>
      <c r="O28" s="23">
        <f>'Resid Cust Fcst '!$E29*'Resid TSM UC Adj'!O28</f>
        <v>0</v>
      </c>
      <c r="P28" s="23">
        <f>'Resid Cust Fcst '!$E29*'Resid TSM UC Adj'!P28</f>
        <v>0</v>
      </c>
      <c r="Q28" s="45">
        <f>IF(SUM(N28:P28)=0,0,SUM(N28:P28)/'Resid Cust Fcst '!E29)</f>
        <v>0</v>
      </c>
      <c r="R28" s="137">
        <f t="shared" si="2"/>
        <v>0</v>
      </c>
      <c r="S28" s="23">
        <f t="shared" si="4"/>
        <v>0</v>
      </c>
      <c r="T28" s="23">
        <f t="shared" si="5"/>
        <v>0</v>
      </c>
      <c r="U28" s="45">
        <f>IF(SUM(R28:T28)=0,0,SUM(R28:T28)/'Resid Cust Fcst '!F29)</f>
        <v>0</v>
      </c>
      <c r="V28" s="137">
        <f>'Resid Cust Fcst '!$G29*'Resid TSM UC Adj'!R28</f>
        <v>0</v>
      </c>
      <c r="W28" s="23">
        <f>'Resid Cust Fcst '!$G29*'Resid TSM UC Adj'!S28</f>
        <v>0</v>
      </c>
      <c r="X28" s="23">
        <f>'Resid Cust Fcst '!$G29*'Resid TSM UC Adj'!T28</f>
        <v>0</v>
      </c>
      <c r="Y28" s="45">
        <f>IF(SUM(V28:X28)=0,0,SUM(V28:X28)/'Resid Cust Fcst '!G29)</f>
        <v>0</v>
      </c>
      <c r="Z28" s="137">
        <f t="shared" si="3"/>
        <v>0</v>
      </c>
      <c r="AA28" s="23">
        <f t="shared" si="6"/>
        <v>0</v>
      </c>
      <c r="AB28" s="23">
        <f t="shared" si="7"/>
        <v>0</v>
      </c>
      <c r="AC28" s="45">
        <f>IF(SUM(Z28:AB28)=0,0,SUM(Z28:AB28)/'Resid Cust Fcst '!H29)</f>
        <v>0</v>
      </c>
    </row>
    <row r="29" spans="1:29">
      <c r="A29" s="153" t="s">
        <v>21</v>
      </c>
      <c r="B29" s="137">
        <f>'Resid Cust Fcst '!$B30*'Resid TSM UC Adj'!J29</f>
        <v>0</v>
      </c>
      <c r="C29" s="23">
        <f>'Resid Cust Fcst '!$B30*'Resid TSM UC Adj'!K29</f>
        <v>0</v>
      </c>
      <c r="D29" s="23">
        <f>'Resid Cust Fcst '!$B30*'Resid TSM UC Adj'!L29</f>
        <v>0</v>
      </c>
      <c r="E29" s="45">
        <f>IF(SUM(B29:D29)=0,0,SUM(B29:D29)/'Resid Cust Fcst '!B30)</f>
        <v>0</v>
      </c>
      <c r="F29" s="137">
        <f>'Resid Cust Fcst '!$C30*'Resid TSM UC Adj'!J29</f>
        <v>0</v>
      </c>
      <c r="G29" s="23">
        <f>'Resid Cust Fcst '!$C30*'Resid TSM UC Adj'!K29</f>
        <v>0</v>
      </c>
      <c r="H29" s="23">
        <f>'Resid Cust Fcst '!$C30*'Resid TSM UC Adj'!L29</f>
        <v>0</v>
      </c>
      <c r="I29" s="45">
        <f>IF(SUM(F29:H29)=0,0,SUM(F29:H29)/'Resid Cust Fcst '!C30)</f>
        <v>0</v>
      </c>
      <c r="J29" s="137">
        <f>'Resid Cust Fcst '!$D30*'Resid TSM UC Adj'!J29</f>
        <v>0</v>
      </c>
      <c r="K29" s="23">
        <f>'Resid Cust Fcst '!$D30*'Resid TSM UC Adj'!K29</f>
        <v>0</v>
      </c>
      <c r="L29" s="23">
        <f>'Resid Cust Fcst '!$D30*'Resid TSM UC Adj'!L29</f>
        <v>0</v>
      </c>
      <c r="M29" s="45">
        <f>IF(SUM(J29:L29)=0,0,SUM(J29:L29)/'Resid Cust Fcst '!D30)</f>
        <v>0</v>
      </c>
      <c r="N29" s="137">
        <f>'Resid Cust Fcst '!$E30*'Resid TSM UC Adj'!N29</f>
        <v>0</v>
      </c>
      <c r="O29" s="23">
        <f>'Resid Cust Fcst '!$E30*'Resid TSM UC Adj'!O29</f>
        <v>0</v>
      </c>
      <c r="P29" s="23">
        <f>'Resid Cust Fcst '!$E30*'Resid TSM UC Adj'!P29</f>
        <v>0</v>
      </c>
      <c r="Q29" s="45">
        <f>IF(SUM(N29:P29)=0,0,SUM(N29:P29)/'Resid Cust Fcst '!E30)</f>
        <v>0</v>
      </c>
      <c r="R29" s="137">
        <f t="shared" si="2"/>
        <v>0</v>
      </c>
      <c r="S29" s="23">
        <f t="shared" si="4"/>
        <v>0</v>
      </c>
      <c r="T29" s="23">
        <f t="shared" si="5"/>
        <v>0</v>
      </c>
      <c r="U29" s="45">
        <f>IF(SUM(R29:T29)=0,0,SUM(R29:T29)/'Resid Cust Fcst '!F30)</f>
        <v>0</v>
      </c>
      <c r="V29" s="137">
        <f>'Resid Cust Fcst '!$G30*'Resid TSM UC Adj'!R29</f>
        <v>0</v>
      </c>
      <c r="W29" s="23">
        <f>'Resid Cust Fcst '!$G30*'Resid TSM UC Adj'!S29</f>
        <v>0</v>
      </c>
      <c r="X29" s="23">
        <f>'Resid Cust Fcst '!$G30*'Resid TSM UC Adj'!T29</f>
        <v>0</v>
      </c>
      <c r="Y29" s="45">
        <f>IF(SUM(V29:X29)=0,0,SUM(V29:X29)/'Resid Cust Fcst '!G30)</f>
        <v>0</v>
      </c>
      <c r="Z29" s="137">
        <f t="shared" si="3"/>
        <v>0</v>
      </c>
      <c r="AA29" s="23">
        <f t="shared" si="6"/>
        <v>0</v>
      </c>
      <c r="AB29" s="23">
        <f t="shared" si="7"/>
        <v>0</v>
      </c>
      <c r="AC29" s="45">
        <f>IF(SUM(Z29:AB29)=0,0,SUM(Z29:AB29)/'Resid Cust Fcst '!H30)</f>
        <v>0</v>
      </c>
    </row>
    <row r="30" spans="1:29">
      <c r="A30" s="153" t="s">
        <v>22</v>
      </c>
      <c r="B30" s="137">
        <f>'Resid Cust Fcst '!$B31*'Resid TSM UC Adj'!J30</f>
        <v>0</v>
      </c>
      <c r="C30" s="23">
        <f>'Resid Cust Fcst '!$B31*'Resid TSM UC Adj'!K30</f>
        <v>0</v>
      </c>
      <c r="D30" s="23">
        <f>'Resid Cust Fcst '!$B31*'Resid TSM UC Adj'!L30</f>
        <v>0</v>
      </c>
      <c r="E30" s="45">
        <f>IF(SUM(B30:D30)=0,0,SUM(B30:D30)/'Resid Cust Fcst '!B31)</f>
        <v>0</v>
      </c>
      <c r="F30" s="137">
        <f>'Resid Cust Fcst '!$C31*'Resid TSM UC Adj'!J30</f>
        <v>0</v>
      </c>
      <c r="G30" s="23">
        <f>'Resid Cust Fcst '!$C31*'Resid TSM UC Adj'!K30</f>
        <v>0</v>
      </c>
      <c r="H30" s="23">
        <f>'Resid Cust Fcst '!$C31*'Resid TSM UC Adj'!L30</f>
        <v>0</v>
      </c>
      <c r="I30" s="45">
        <f>IF(SUM(F30:H30)=0,0,SUM(F30:H30)/'Resid Cust Fcst '!C31)</f>
        <v>0</v>
      </c>
      <c r="J30" s="137">
        <f>'Resid Cust Fcst '!$D31*'Resid TSM UC Adj'!J30</f>
        <v>0</v>
      </c>
      <c r="K30" s="23">
        <f>'Resid Cust Fcst '!$D31*'Resid TSM UC Adj'!K30</f>
        <v>0</v>
      </c>
      <c r="L30" s="23">
        <f>'Resid Cust Fcst '!$D31*'Resid TSM UC Adj'!L30</f>
        <v>0</v>
      </c>
      <c r="M30" s="45">
        <f>IF(SUM(J30:L30)=0,0,SUM(J30:L30)/'Resid Cust Fcst '!D31)</f>
        <v>0</v>
      </c>
      <c r="N30" s="137">
        <f>'Resid Cust Fcst '!$E31*'Resid TSM UC Adj'!N30</f>
        <v>0</v>
      </c>
      <c r="O30" s="23">
        <f>'Resid Cust Fcst '!$E31*'Resid TSM UC Adj'!O30</f>
        <v>0</v>
      </c>
      <c r="P30" s="23">
        <f>'Resid Cust Fcst '!$E31*'Resid TSM UC Adj'!P30</f>
        <v>0</v>
      </c>
      <c r="Q30" s="45">
        <f>IF(SUM(N30:P30)=0,0,SUM(N30:P30)/'Resid Cust Fcst '!E31)</f>
        <v>0</v>
      </c>
      <c r="R30" s="137">
        <f t="shared" si="2"/>
        <v>0</v>
      </c>
      <c r="S30" s="23">
        <f t="shared" si="4"/>
        <v>0</v>
      </c>
      <c r="T30" s="23">
        <f t="shared" si="5"/>
        <v>0</v>
      </c>
      <c r="U30" s="45">
        <f>IF(SUM(R30:T30)=0,0,SUM(R30:T30)/'Resid Cust Fcst '!F31)</f>
        <v>0</v>
      </c>
      <c r="V30" s="137">
        <f>'Resid Cust Fcst '!$G31*'Resid TSM UC Adj'!R30</f>
        <v>0</v>
      </c>
      <c r="W30" s="23">
        <f>'Resid Cust Fcst '!$G31*'Resid TSM UC Adj'!S30</f>
        <v>0</v>
      </c>
      <c r="X30" s="23">
        <f>'Resid Cust Fcst '!$G31*'Resid TSM UC Adj'!T30</f>
        <v>0</v>
      </c>
      <c r="Y30" s="45">
        <f>IF(SUM(V30:X30)=0,0,SUM(V30:X30)/'Resid Cust Fcst '!G31)</f>
        <v>0</v>
      </c>
      <c r="Z30" s="137">
        <f t="shared" si="3"/>
        <v>0</v>
      </c>
      <c r="AA30" s="23">
        <f t="shared" si="6"/>
        <v>0</v>
      </c>
      <c r="AB30" s="23">
        <f t="shared" si="7"/>
        <v>0</v>
      </c>
      <c r="AC30" s="45">
        <f>IF(SUM(Z30:AB30)=0,0,SUM(Z30:AB30)/'Resid Cust Fcst '!H31)</f>
        <v>0</v>
      </c>
    </row>
    <row r="31" spans="1:29">
      <c r="A31" s="153" t="s">
        <v>23</v>
      </c>
      <c r="B31" s="137">
        <f>'Resid Cust Fcst '!$B32*'Resid TSM UC Adj'!J31</f>
        <v>0</v>
      </c>
      <c r="C31" s="23">
        <f>'Resid Cust Fcst '!$B32*'Resid TSM UC Adj'!K31</f>
        <v>0</v>
      </c>
      <c r="D31" s="23">
        <f>'Resid Cust Fcst '!$B32*'Resid TSM UC Adj'!L31</f>
        <v>0</v>
      </c>
      <c r="E31" s="45">
        <f>IF(SUM(B31:D31)=0,0,SUM(B31:D31)/'Resid Cust Fcst '!B32)</f>
        <v>0</v>
      </c>
      <c r="F31" s="137">
        <f>'Resid Cust Fcst '!$C32*'Resid TSM UC Adj'!J31</f>
        <v>0</v>
      </c>
      <c r="G31" s="23">
        <f>'Resid Cust Fcst '!$C32*'Resid TSM UC Adj'!K31</f>
        <v>0</v>
      </c>
      <c r="H31" s="23">
        <f>'Resid Cust Fcst '!$C32*'Resid TSM UC Adj'!L31</f>
        <v>0</v>
      </c>
      <c r="I31" s="45">
        <f>IF(SUM(F31:H31)=0,0,SUM(F31:H31)/'Resid Cust Fcst '!C32)</f>
        <v>0</v>
      </c>
      <c r="J31" s="137">
        <f>'Resid Cust Fcst '!$D32*'Resid TSM UC Adj'!J31</f>
        <v>0</v>
      </c>
      <c r="K31" s="23">
        <f>'Resid Cust Fcst '!$D32*'Resid TSM UC Adj'!K31</f>
        <v>0</v>
      </c>
      <c r="L31" s="23">
        <f>'Resid Cust Fcst '!$D32*'Resid TSM UC Adj'!L31</f>
        <v>0</v>
      </c>
      <c r="M31" s="45">
        <f>IF(SUM(J31:L31)=0,0,SUM(J31:L31)/'Resid Cust Fcst '!D32)</f>
        <v>0</v>
      </c>
      <c r="N31" s="137">
        <f>'Resid Cust Fcst '!$E32*'Resid TSM UC Adj'!N31</f>
        <v>0</v>
      </c>
      <c r="O31" s="23">
        <f>'Resid Cust Fcst '!$E32*'Resid TSM UC Adj'!O31</f>
        <v>0</v>
      </c>
      <c r="P31" s="23">
        <f>'Resid Cust Fcst '!$E32*'Resid TSM UC Adj'!P31</f>
        <v>0</v>
      </c>
      <c r="Q31" s="45">
        <f>IF(SUM(N31:P31)=0,0,SUM(N31:P31)/'Resid Cust Fcst '!E32)</f>
        <v>0</v>
      </c>
      <c r="R31" s="137">
        <f t="shared" si="2"/>
        <v>0</v>
      </c>
      <c r="S31" s="23">
        <f t="shared" si="4"/>
        <v>0</v>
      </c>
      <c r="T31" s="23">
        <f t="shared" si="5"/>
        <v>0</v>
      </c>
      <c r="U31" s="45">
        <f>IF(SUM(R31:T31)=0,0,SUM(R31:T31)/'Resid Cust Fcst '!F32)</f>
        <v>0</v>
      </c>
      <c r="V31" s="137">
        <f>'Resid Cust Fcst '!$G32*'Resid TSM UC Adj'!R31</f>
        <v>0</v>
      </c>
      <c r="W31" s="23">
        <f>'Resid Cust Fcst '!$G32*'Resid TSM UC Adj'!S31</f>
        <v>0</v>
      </c>
      <c r="X31" s="23">
        <f>'Resid Cust Fcst '!$G32*'Resid TSM UC Adj'!T31</f>
        <v>0</v>
      </c>
      <c r="Y31" s="45">
        <f>IF(SUM(V31:X31)=0,0,SUM(V31:X31)/'Resid Cust Fcst '!G32)</f>
        <v>0</v>
      </c>
      <c r="Z31" s="137">
        <f t="shared" si="3"/>
        <v>0</v>
      </c>
      <c r="AA31" s="23">
        <f t="shared" si="6"/>
        <v>0</v>
      </c>
      <c r="AB31" s="23">
        <f t="shared" si="7"/>
        <v>0</v>
      </c>
      <c r="AC31" s="45">
        <f>IF(SUM(Z31:AB31)=0,0,SUM(Z31:AB31)/'Resid Cust Fcst '!H32)</f>
        <v>0</v>
      </c>
    </row>
    <row r="32" spans="1:29">
      <c r="A32" s="153" t="s">
        <v>24</v>
      </c>
      <c r="B32" s="137">
        <f>'Resid Cust Fcst '!$B33*'Resid TSM UC Adj'!J32</f>
        <v>0</v>
      </c>
      <c r="C32" s="23">
        <f>'Resid Cust Fcst '!$B33*'Resid TSM UC Adj'!K32</f>
        <v>0</v>
      </c>
      <c r="D32" s="23">
        <f>'Resid Cust Fcst '!$B33*'Resid TSM UC Adj'!L32</f>
        <v>0</v>
      </c>
      <c r="E32" s="45">
        <f>IF(SUM(B32:D32)=0,0,SUM(B32:D32)/'Resid Cust Fcst '!B33)</f>
        <v>0</v>
      </c>
      <c r="F32" s="137">
        <f>'Resid Cust Fcst '!$C33*'Resid TSM UC Adj'!J32</f>
        <v>0</v>
      </c>
      <c r="G32" s="23">
        <f>'Resid Cust Fcst '!$C33*'Resid TSM UC Adj'!K32</f>
        <v>0</v>
      </c>
      <c r="H32" s="23">
        <f>'Resid Cust Fcst '!$C33*'Resid TSM UC Adj'!L32</f>
        <v>0</v>
      </c>
      <c r="I32" s="45">
        <f>IF(SUM(F32:H32)=0,0,SUM(F32:H32)/'Resid Cust Fcst '!C33)</f>
        <v>0</v>
      </c>
      <c r="J32" s="137">
        <f>'Resid Cust Fcst '!$D33*'Resid TSM UC Adj'!J32</f>
        <v>0</v>
      </c>
      <c r="K32" s="23">
        <f>'Resid Cust Fcst '!$D33*'Resid TSM UC Adj'!K32</f>
        <v>0</v>
      </c>
      <c r="L32" s="23">
        <f>'Resid Cust Fcst '!$D33*'Resid TSM UC Adj'!L32</f>
        <v>0</v>
      </c>
      <c r="M32" s="45">
        <f>IF(SUM(J32:L32)=0,0,SUM(J32:L32)/'Resid Cust Fcst '!D33)</f>
        <v>0</v>
      </c>
      <c r="N32" s="137">
        <f>'Resid Cust Fcst '!$E33*'Resid TSM UC Adj'!N32</f>
        <v>0</v>
      </c>
      <c r="O32" s="23">
        <f>'Resid Cust Fcst '!$E33*'Resid TSM UC Adj'!O32</f>
        <v>0</v>
      </c>
      <c r="P32" s="23">
        <f>'Resid Cust Fcst '!$E33*'Resid TSM UC Adj'!P32</f>
        <v>0</v>
      </c>
      <c r="Q32" s="45">
        <f>IF(SUM(N32:P32)=0,0,SUM(N32:P32)/'Resid Cust Fcst '!E33)</f>
        <v>0</v>
      </c>
      <c r="R32" s="137">
        <f t="shared" si="2"/>
        <v>0</v>
      </c>
      <c r="S32" s="23">
        <f t="shared" si="4"/>
        <v>0</v>
      </c>
      <c r="T32" s="23">
        <f t="shared" si="5"/>
        <v>0</v>
      </c>
      <c r="U32" s="45">
        <f>IF(SUM(R32:T32)=0,0,SUM(R32:T32)/'Resid Cust Fcst '!F33)</f>
        <v>0</v>
      </c>
      <c r="V32" s="137">
        <f>'Resid Cust Fcst '!$G33*'Resid TSM UC Adj'!R32</f>
        <v>0</v>
      </c>
      <c r="W32" s="23">
        <f>'Resid Cust Fcst '!$G33*'Resid TSM UC Adj'!S32</f>
        <v>0</v>
      </c>
      <c r="X32" s="23">
        <f>'Resid Cust Fcst '!$G33*'Resid TSM UC Adj'!T32</f>
        <v>0</v>
      </c>
      <c r="Y32" s="45">
        <f>IF(SUM(V32:X32)=0,0,SUM(V32:X32)/'Resid Cust Fcst '!G33)</f>
        <v>0</v>
      </c>
      <c r="Z32" s="137">
        <f t="shared" si="3"/>
        <v>0</v>
      </c>
      <c r="AA32" s="23">
        <f t="shared" si="6"/>
        <v>0</v>
      </c>
      <c r="AB32" s="23">
        <f t="shared" si="7"/>
        <v>0</v>
      </c>
      <c r="AC32" s="45">
        <f>IF(SUM(Z32:AB32)=0,0,SUM(Z32:AB32)/'Resid Cust Fcst '!H33)</f>
        <v>0</v>
      </c>
    </row>
    <row r="33" spans="1:29">
      <c r="A33" s="153" t="s">
        <v>25</v>
      </c>
      <c r="B33" s="137">
        <f>'Resid Cust Fcst '!$B34*'Resid TSM UC Adj'!J33</f>
        <v>0</v>
      </c>
      <c r="C33" s="23">
        <f>'Resid Cust Fcst '!$B34*'Resid TSM UC Adj'!K33</f>
        <v>0</v>
      </c>
      <c r="D33" s="23">
        <f>'Resid Cust Fcst '!$B34*'Resid TSM UC Adj'!L33</f>
        <v>0</v>
      </c>
      <c r="E33" s="45">
        <f>IF(SUM(B33:D33)=0,0,SUM(B33:D33)/'Resid Cust Fcst '!B34)</f>
        <v>0</v>
      </c>
      <c r="F33" s="137">
        <f>'Resid Cust Fcst '!$C34*'Resid TSM UC Adj'!J33</f>
        <v>0</v>
      </c>
      <c r="G33" s="23">
        <f>'Resid Cust Fcst '!$C34*'Resid TSM UC Adj'!K33</f>
        <v>0</v>
      </c>
      <c r="H33" s="23">
        <f>'Resid Cust Fcst '!$C34*'Resid TSM UC Adj'!L33</f>
        <v>0</v>
      </c>
      <c r="I33" s="45">
        <f>IF(SUM(F33:H33)=0,0,SUM(F33:H33)/'Resid Cust Fcst '!C34)</f>
        <v>0</v>
      </c>
      <c r="J33" s="137">
        <f>'Resid Cust Fcst '!$D34*'Resid TSM UC Adj'!J33</f>
        <v>0</v>
      </c>
      <c r="K33" s="23">
        <f>'Resid Cust Fcst '!$D34*'Resid TSM UC Adj'!K33</f>
        <v>0</v>
      </c>
      <c r="L33" s="23">
        <f>'Resid Cust Fcst '!$D34*'Resid TSM UC Adj'!L33</f>
        <v>0</v>
      </c>
      <c r="M33" s="45">
        <f>IF(SUM(J33:L33)=0,0,SUM(J33:L33)/'Resid Cust Fcst '!D34)</f>
        <v>0</v>
      </c>
      <c r="N33" s="137">
        <f>'Resid Cust Fcst '!$E34*'Resid TSM UC Adj'!N33</f>
        <v>0</v>
      </c>
      <c r="O33" s="23">
        <f>'Resid Cust Fcst '!$E34*'Resid TSM UC Adj'!O33</f>
        <v>0</v>
      </c>
      <c r="P33" s="23">
        <f>'Resid Cust Fcst '!$E34*'Resid TSM UC Adj'!P33</f>
        <v>0</v>
      </c>
      <c r="Q33" s="45">
        <f>IF(SUM(N33:P33)=0,0,SUM(N33:P33)/'Resid Cust Fcst '!E34)</f>
        <v>0</v>
      </c>
      <c r="R33" s="137">
        <f t="shared" si="2"/>
        <v>0</v>
      </c>
      <c r="S33" s="23">
        <f t="shared" si="4"/>
        <v>0</v>
      </c>
      <c r="T33" s="23">
        <f t="shared" si="5"/>
        <v>0</v>
      </c>
      <c r="U33" s="45">
        <f>IF(SUM(R33:T33)=0,0,SUM(R33:T33)/'Resid Cust Fcst '!F34)</f>
        <v>0</v>
      </c>
      <c r="V33" s="137">
        <f>'Resid Cust Fcst '!$G34*'Resid TSM UC Adj'!R33</f>
        <v>0</v>
      </c>
      <c r="W33" s="23">
        <f>'Resid Cust Fcst '!$G34*'Resid TSM UC Adj'!S33</f>
        <v>0</v>
      </c>
      <c r="X33" s="23">
        <f>'Resid Cust Fcst '!$G34*'Resid TSM UC Adj'!T33</f>
        <v>0</v>
      </c>
      <c r="Y33" s="45">
        <f>IF(SUM(V33:X33)=0,0,SUM(V33:X33)/'Resid Cust Fcst '!G34)</f>
        <v>0</v>
      </c>
      <c r="Z33" s="137">
        <f t="shared" si="3"/>
        <v>0</v>
      </c>
      <c r="AA33" s="23">
        <f t="shared" si="6"/>
        <v>0</v>
      </c>
      <c r="AB33" s="23">
        <f t="shared" si="7"/>
        <v>0</v>
      </c>
      <c r="AC33" s="45">
        <f>IF(SUM(Z33:AB33)=0,0,SUM(Z33:AB33)/'Resid Cust Fcst '!H34)</f>
        <v>0</v>
      </c>
    </row>
    <row r="34" spans="1:29">
      <c r="A34" s="153" t="s">
        <v>125</v>
      </c>
      <c r="B34" s="137">
        <f>'Resid Cust Fcst '!$B35*'Resid TSM UC Adj'!J34</f>
        <v>0</v>
      </c>
      <c r="C34" s="23">
        <f>'Resid Cust Fcst '!$B35*'Resid TSM UC Adj'!K34</f>
        <v>0</v>
      </c>
      <c r="D34" s="23">
        <f>'Resid Cust Fcst '!$B35*'Resid TSM UC Adj'!L34</f>
        <v>0</v>
      </c>
      <c r="E34" s="45">
        <f>IF(SUM(B34:D34)=0,0,SUM(B34:D34)/'Resid Cust Fcst '!B35)</f>
        <v>0</v>
      </c>
      <c r="F34" s="137">
        <f>'Resid Cust Fcst '!$C35*'Resid TSM UC Adj'!J34</f>
        <v>0</v>
      </c>
      <c r="G34" s="23">
        <f>'Resid Cust Fcst '!$C35*'Resid TSM UC Adj'!K34</f>
        <v>0</v>
      </c>
      <c r="H34" s="23">
        <f>'Resid Cust Fcst '!$C35*'Resid TSM UC Adj'!L34</f>
        <v>0</v>
      </c>
      <c r="I34" s="45">
        <f>IF(SUM(F34:H34)=0,0,SUM(F34:H34)/'Resid Cust Fcst '!C35)</f>
        <v>0</v>
      </c>
      <c r="J34" s="137">
        <f>'Resid Cust Fcst '!$D35*'Resid TSM UC Adj'!J34</f>
        <v>0</v>
      </c>
      <c r="K34" s="23">
        <f>'Resid Cust Fcst '!$D35*'Resid TSM UC Adj'!K34</f>
        <v>0</v>
      </c>
      <c r="L34" s="23">
        <f>'Resid Cust Fcst '!$D35*'Resid TSM UC Adj'!L34</f>
        <v>0</v>
      </c>
      <c r="M34" s="45">
        <f>IF(SUM(J34:L34)=0,0,SUM(J34:L34)/'Resid Cust Fcst '!D35)</f>
        <v>0</v>
      </c>
      <c r="N34" s="137">
        <f>'Resid Cust Fcst '!$E35*'Resid TSM UC Adj'!N34</f>
        <v>0</v>
      </c>
      <c r="O34" s="23">
        <f>'Resid Cust Fcst '!$E35*'Resid TSM UC Adj'!O34</f>
        <v>0</v>
      </c>
      <c r="P34" s="23">
        <f>'Resid Cust Fcst '!$E35*'Resid TSM UC Adj'!P34</f>
        <v>0</v>
      </c>
      <c r="Q34" s="45">
        <f>IF(SUM(N34:P34)=0,0,SUM(N34:P34)/'Resid Cust Fcst '!E35)</f>
        <v>0</v>
      </c>
      <c r="R34" s="137">
        <f t="shared" si="2"/>
        <v>0</v>
      </c>
      <c r="S34" s="23">
        <f t="shared" si="4"/>
        <v>0</v>
      </c>
      <c r="T34" s="23">
        <f t="shared" si="5"/>
        <v>0</v>
      </c>
      <c r="U34" s="45">
        <f>IF(SUM(R34:T34)=0,0,SUM(R34:T34)/'Resid Cust Fcst '!F35)</f>
        <v>0</v>
      </c>
      <c r="V34" s="137">
        <f>'Resid Cust Fcst '!$G35*'Resid TSM UC Adj'!R34</f>
        <v>0</v>
      </c>
      <c r="W34" s="23">
        <f>'Resid Cust Fcst '!$G35*'Resid TSM UC Adj'!S34</f>
        <v>0</v>
      </c>
      <c r="X34" s="23">
        <f>'Resid Cust Fcst '!$G35*'Resid TSM UC Adj'!T34</f>
        <v>0</v>
      </c>
      <c r="Y34" s="45">
        <f>IF(SUM(V34:X34)=0,0,SUM(V34:X34)/'Resid Cust Fcst '!G35)</f>
        <v>0</v>
      </c>
      <c r="Z34" s="137">
        <f t="shared" si="3"/>
        <v>0</v>
      </c>
      <c r="AA34" s="23">
        <f t="shared" si="6"/>
        <v>0</v>
      </c>
      <c r="AB34" s="23">
        <f t="shared" si="7"/>
        <v>0</v>
      </c>
      <c r="AC34" s="45">
        <f>IF(SUM(Z34:AB34)=0,0,SUM(Z34:AB34)/'Resid Cust Fcst '!H35)</f>
        <v>0</v>
      </c>
    </row>
    <row r="35" spans="1:29">
      <c r="A35" s="153" t="s">
        <v>126</v>
      </c>
      <c r="B35" s="137">
        <f>'Resid Cust Fcst '!$B36*'Resid TSM UC Adj'!J35</f>
        <v>0</v>
      </c>
      <c r="C35" s="23">
        <f>'Resid Cust Fcst '!$B36*'Resid TSM UC Adj'!K35</f>
        <v>0</v>
      </c>
      <c r="D35" s="23">
        <f>'Resid Cust Fcst '!$B36*'Resid TSM UC Adj'!L35</f>
        <v>0</v>
      </c>
      <c r="E35" s="45">
        <f>IF(SUM(B35:D35)=0,0,SUM(B35:D35)/'Resid Cust Fcst '!B36)</f>
        <v>0</v>
      </c>
      <c r="F35" s="137">
        <f>'Resid Cust Fcst '!$C36*'Resid TSM UC Adj'!J35</f>
        <v>0</v>
      </c>
      <c r="G35" s="23">
        <f>'Resid Cust Fcst '!$C36*'Resid TSM UC Adj'!K35</f>
        <v>0</v>
      </c>
      <c r="H35" s="23">
        <f>'Resid Cust Fcst '!$C36*'Resid TSM UC Adj'!L35</f>
        <v>0</v>
      </c>
      <c r="I35" s="45">
        <f>IF(SUM(F35:H35)=0,0,SUM(F35:H35)/'Resid Cust Fcst '!C36)</f>
        <v>0</v>
      </c>
      <c r="J35" s="137">
        <f>'Resid Cust Fcst '!$D36*'Resid TSM UC Adj'!J35</f>
        <v>0</v>
      </c>
      <c r="K35" s="23">
        <f>'Resid Cust Fcst '!$D36*'Resid TSM UC Adj'!K35</f>
        <v>0</v>
      </c>
      <c r="L35" s="23">
        <f>'Resid Cust Fcst '!$D36*'Resid TSM UC Adj'!L35</f>
        <v>0</v>
      </c>
      <c r="M35" s="45">
        <f>IF(SUM(J35:L35)=0,0,SUM(J35:L35)/'Resid Cust Fcst '!D36)</f>
        <v>0</v>
      </c>
      <c r="N35" s="137">
        <f>'Resid Cust Fcst '!$E36*'Resid TSM UC Adj'!N35</f>
        <v>0</v>
      </c>
      <c r="O35" s="23">
        <f>'Resid Cust Fcst '!$E36*'Resid TSM UC Adj'!O35</f>
        <v>0</v>
      </c>
      <c r="P35" s="23">
        <f>'Resid Cust Fcst '!$E36*'Resid TSM UC Adj'!P35</f>
        <v>0</v>
      </c>
      <c r="Q35" s="45">
        <f>IF(SUM(N35:P35)=0,0,SUM(N35:P35)/'Resid Cust Fcst '!E36)</f>
        <v>0</v>
      </c>
      <c r="R35" s="137">
        <f t="shared" si="2"/>
        <v>0</v>
      </c>
      <c r="S35" s="23">
        <f t="shared" si="4"/>
        <v>0</v>
      </c>
      <c r="T35" s="23">
        <f t="shared" si="5"/>
        <v>0</v>
      </c>
      <c r="U35" s="45">
        <f>IF(SUM(R35:T35)=0,0,SUM(R35:T35)/'Resid Cust Fcst '!F36)</f>
        <v>0</v>
      </c>
      <c r="V35" s="137">
        <f>'Resid Cust Fcst '!$G36*'Resid TSM UC Adj'!R35</f>
        <v>0</v>
      </c>
      <c r="W35" s="23">
        <f>'Resid Cust Fcst '!$G36*'Resid TSM UC Adj'!S35</f>
        <v>0</v>
      </c>
      <c r="X35" s="23">
        <f>'Resid Cust Fcst '!$G36*'Resid TSM UC Adj'!T35</f>
        <v>0</v>
      </c>
      <c r="Y35" s="45">
        <f>IF(SUM(V35:X35)=0,0,SUM(V35:X35)/'Resid Cust Fcst '!G36)</f>
        <v>0</v>
      </c>
      <c r="Z35" s="137">
        <f t="shared" si="3"/>
        <v>0</v>
      </c>
      <c r="AA35" s="23">
        <f t="shared" si="6"/>
        <v>0</v>
      </c>
      <c r="AB35" s="23">
        <f t="shared" si="7"/>
        <v>0</v>
      </c>
      <c r="AC35" s="45">
        <f>IF(SUM(Z35:AB35)=0,0,SUM(Z35:AB35)/'Resid Cust Fcst '!H36)</f>
        <v>0</v>
      </c>
    </row>
    <row r="36" spans="1:29">
      <c r="A36" s="153" t="s">
        <v>26</v>
      </c>
      <c r="B36" s="137">
        <f>'Resid Cust Fcst '!$B37*'Resid TSM UC Adj'!J36</f>
        <v>0</v>
      </c>
      <c r="C36" s="23">
        <f>'Resid Cust Fcst '!$B37*'Resid TSM UC Adj'!K36</f>
        <v>0</v>
      </c>
      <c r="D36" s="23">
        <f>'Resid Cust Fcst '!$B37*'Resid TSM UC Adj'!L36</f>
        <v>0</v>
      </c>
      <c r="E36" s="45">
        <f>IF(SUM(B36:D36)=0,0,SUM(B36:D36)/'Resid Cust Fcst '!B37)</f>
        <v>0</v>
      </c>
      <c r="F36" s="137">
        <f>'Resid Cust Fcst '!$C37*'Resid TSM UC Adj'!J36</f>
        <v>0</v>
      </c>
      <c r="G36" s="23">
        <f>'Resid Cust Fcst '!$C37*'Resid TSM UC Adj'!K36</f>
        <v>0</v>
      </c>
      <c r="H36" s="23">
        <f>'Resid Cust Fcst '!$C37*'Resid TSM UC Adj'!L36</f>
        <v>0</v>
      </c>
      <c r="I36" s="45">
        <f>IF(SUM(F36:H36)=0,0,SUM(F36:H36)/'Resid Cust Fcst '!C37)</f>
        <v>0</v>
      </c>
      <c r="J36" s="137">
        <f>'Resid Cust Fcst '!$D37*'Resid TSM UC Adj'!J36</f>
        <v>0</v>
      </c>
      <c r="K36" s="23">
        <f>'Resid Cust Fcst '!$D37*'Resid TSM UC Adj'!K36</f>
        <v>0</v>
      </c>
      <c r="L36" s="23">
        <f>'Resid Cust Fcst '!$D37*'Resid TSM UC Adj'!L36</f>
        <v>0</v>
      </c>
      <c r="M36" s="45">
        <f>IF(SUM(J36:L36)=0,0,SUM(J36:L36)/'Resid Cust Fcst '!D37)</f>
        <v>0</v>
      </c>
      <c r="N36" s="137">
        <f>'Resid Cust Fcst '!$E37*'Resid TSM UC Adj'!N36</f>
        <v>0</v>
      </c>
      <c r="O36" s="23">
        <f>'Resid Cust Fcst '!$E37*'Resid TSM UC Adj'!O36</f>
        <v>0</v>
      </c>
      <c r="P36" s="23">
        <f>'Resid Cust Fcst '!$E37*'Resid TSM UC Adj'!P36</f>
        <v>0</v>
      </c>
      <c r="Q36" s="45">
        <f>IF(SUM(N36:P36)=0,0,SUM(N36:P36)/'Resid Cust Fcst '!E37)</f>
        <v>0</v>
      </c>
      <c r="R36" s="137">
        <f t="shared" si="2"/>
        <v>0</v>
      </c>
      <c r="S36" s="23">
        <f t="shared" si="4"/>
        <v>0</v>
      </c>
      <c r="T36" s="23">
        <f t="shared" si="5"/>
        <v>0</v>
      </c>
      <c r="U36" s="45">
        <f>IF(SUM(R36:T36)=0,0,SUM(R36:T36)/'Resid Cust Fcst '!F37)</f>
        <v>0</v>
      </c>
      <c r="V36" s="137">
        <f>'Resid Cust Fcst '!$G37*'Resid TSM UC Adj'!R36</f>
        <v>0</v>
      </c>
      <c r="W36" s="23">
        <f>'Resid Cust Fcst '!$G37*'Resid TSM UC Adj'!S36</f>
        <v>0</v>
      </c>
      <c r="X36" s="23">
        <f>'Resid Cust Fcst '!$G37*'Resid TSM UC Adj'!T36</f>
        <v>0</v>
      </c>
      <c r="Y36" s="45">
        <f>IF(SUM(V36:X36)=0,0,SUM(V36:X36)/'Resid Cust Fcst '!G37)</f>
        <v>0</v>
      </c>
      <c r="Z36" s="137">
        <f t="shared" si="3"/>
        <v>0</v>
      </c>
      <c r="AA36" s="23">
        <f t="shared" si="6"/>
        <v>0</v>
      </c>
      <c r="AB36" s="23">
        <f t="shared" si="7"/>
        <v>0</v>
      </c>
      <c r="AC36" s="45">
        <f>IF(SUM(Z36:AB36)=0,0,SUM(Z36:AB36)/'Resid Cust Fcst '!H37)</f>
        <v>0</v>
      </c>
    </row>
    <row r="37" spans="1:29">
      <c r="A37" s="153" t="s">
        <v>27</v>
      </c>
      <c r="B37" s="137">
        <f>'Resid Cust Fcst '!$B38*'Resid TSM UC Adj'!J37</f>
        <v>0</v>
      </c>
      <c r="C37" s="23">
        <f>'Resid Cust Fcst '!$B38*'Resid TSM UC Adj'!K37</f>
        <v>0</v>
      </c>
      <c r="D37" s="23">
        <f>'Resid Cust Fcst '!$B38*'Resid TSM UC Adj'!L37</f>
        <v>0</v>
      </c>
      <c r="E37" s="45">
        <f>IF(SUM(B37:D37)=0,0,SUM(B37:D37)/'Resid Cust Fcst '!B38)</f>
        <v>0</v>
      </c>
      <c r="F37" s="137">
        <f>'Resid Cust Fcst '!$C38*'Resid TSM UC Adj'!J37</f>
        <v>0</v>
      </c>
      <c r="G37" s="23">
        <f>'Resid Cust Fcst '!$C38*'Resid TSM UC Adj'!K37</f>
        <v>0</v>
      </c>
      <c r="H37" s="23">
        <f>'Resid Cust Fcst '!$C38*'Resid TSM UC Adj'!L37</f>
        <v>0</v>
      </c>
      <c r="I37" s="45">
        <f>IF(SUM(F37:H37)=0,0,SUM(F37:H37)/'Resid Cust Fcst '!C38)</f>
        <v>0</v>
      </c>
      <c r="J37" s="137">
        <f>'Resid Cust Fcst '!$D38*'Resid TSM UC Adj'!J37</f>
        <v>0</v>
      </c>
      <c r="K37" s="23">
        <f>'Resid Cust Fcst '!$D38*'Resid TSM UC Adj'!K37</f>
        <v>0</v>
      </c>
      <c r="L37" s="23">
        <f>'Resid Cust Fcst '!$D38*'Resid TSM UC Adj'!L37</f>
        <v>0</v>
      </c>
      <c r="M37" s="45">
        <f>IF(SUM(J37:L37)=0,0,SUM(J37:L37)/'Resid Cust Fcst '!D38)</f>
        <v>0</v>
      </c>
      <c r="N37" s="137">
        <f>'Resid Cust Fcst '!$E38*'Resid TSM UC Adj'!N37</f>
        <v>0</v>
      </c>
      <c r="O37" s="23">
        <f>'Resid Cust Fcst '!$E38*'Resid TSM UC Adj'!O37</f>
        <v>0</v>
      </c>
      <c r="P37" s="23">
        <f>'Resid Cust Fcst '!$E38*'Resid TSM UC Adj'!P37</f>
        <v>0</v>
      </c>
      <c r="Q37" s="45">
        <f>IF(SUM(N37:P37)=0,0,SUM(N37:P37)/'Resid Cust Fcst '!E38)</f>
        <v>0</v>
      </c>
      <c r="R37" s="137">
        <f t="shared" si="2"/>
        <v>0</v>
      </c>
      <c r="S37" s="23">
        <f t="shared" si="4"/>
        <v>0</v>
      </c>
      <c r="T37" s="23">
        <f t="shared" si="5"/>
        <v>0</v>
      </c>
      <c r="U37" s="45">
        <f>IF(SUM(R37:T37)=0,0,SUM(R37:T37)/'Resid Cust Fcst '!F38)</f>
        <v>0</v>
      </c>
      <c r="V37" s="137">
        <f>'Resid Cust Fcst '!$G38*'Resid TSM UC Adj'!R37</f>
        <v>0</v>
      </c>
      <c r="W37" s="23">
        <f>'Resid Cust Fcst '!$G38*'Resid TSM UC Adj'!S37</f>
        <v>0</v>
      </c>
      <c r="X37" s="23">
        <f>'Resid Cust Fcst '!$G38*'Resid TSM UC Adj'!T37</f>
        <v>0</v>
      </c>
      <c r="Y37" s="45">
        <f>IF(SUM(V37:X37)=0,0,SUM(V37:X37)/'Resid Cust Fcst '!G38)</f>
        <v>0</v>
      </c>
      <c r="Z37" s="137">
        <f t="shared" si="3"/>
        <v>0</v>
      </c>
      <c r="AA37" s="23">
        <f t="shared" si="6"/>
        <v>0</v>
      </c>
      <c r="AB37" s="23">
        <f t="shared" si="7"/>
        <v>0</v>
      </c>
      <c r="AC37" s="45">
        <f>IF(SUM(Z37:AB37)=0,0,SUM(Z37:AB37)/'Resid Cust Fcst '!H38)</f>
        <v>0</v>
      </c>
    </row>
    <row r="38" spans="1:29" ht="13.5" thickBot="1">
      <c r="A38" s="156"/>
      <c r="B38" s="137"/>
      <c r="C38" s="23"/>
      <c r="D38" s="23"/>
      <c r="E38" s="45"/>
      <c r="F38" s="137"/>
      <c r="G38" s="23"/>
      <c r="H38" s="23"/>
      <c r="I38" s="45"/>
      <c r="J38" s="137"/>
      <c r="K38" s="23"/>
      <c r="L38" s="23"/>
      <c r="M38" s="45"/>
      <c r="N38" s="137"/>
      <c r="O38" s="23"/>
      <c r="P38" s="23"/>
      <c r="Q38" s="45"/>
      <c r="R38" s="244"/>
      <c r="S38" s="240"/>
      <c r="T38" s="240"/>
      <c r="U38" s="249"/>
      <c r="V38" s="137"/>
      <c r="W38" s="23"/>
      <c r="X38" s="23"/>
      <c r="Y38" s="45"/>
      <c r="Z38" s="137"/>
      <c r="AA38" s="23"/>
      <c r="AB38" s="23"/>
      <c r="AC38" s="45"/>
    </row>
    <row r="39" spans="1:29" ht="13.5" thickBot="1">
      <c r="A39" s="245" t="s">
        <v>157</v>
      </c>
      <c r="B39" s="317">
        <f>IF(SUM(B7:B37)=0,0,SUM(B7:B37)/'Resid Cust Fcst '!$B$40)</f>
        <v>624.31228467551671</v>
      </c>
      <c r="C39" s="318">
        <f>IF(SUM(C7:C37)=0,0,SUM(C7:C37)/'Resid Cust Fcst '!$B$40)</f>
        <v>152.31633245250384</v>
      </c>
      <c r="D39" s="318">
        <f>IF(SUM(D7:D37)=0,0,SUM(D7:D37)/'Resid Cust Fcst '!$B$40)</f>
        <v>246.24333484162898</v>
      </c>
      <c r="E39" s="319">
        <f>SUM(B39:D39)</f>
        <v>1022.8719519696496</v>
      </c>
      <c r="F39" s="317">
        <f>IF(SUM(F7:F37)=0,0,SUM(F7:F37)/'Resid Cust Fcst '!$C$40)</f>
        <v>973.8231475707571</v>
      </c>
      <c r="G39" s="318">
        <f>IF(SUM(G7:G37)=0,0,SUM(G7:G37)/'Resid Cust Fcst '!$C$40)</f>
        <v>794.34328222992758</v>
      </c>
      <c r="H39" s="318">
        <f>IF(SUM(H7:H37)=0,0,SUM(H7:H37)/'Resid Cust Fcst '!$C$40)</f>
        <v>373.17999999999995</v>
      </c>
      <c r="I39" s="319">
        <f>SUM(F39:H39)</f>
        <v>2141.3464298006847</v>
      </c>
      <c r="J39" s="317">
        <f>IF(SUM(J7:J37)=0,0,SUM(J7:J37)/'Resid Cust Fcst '!$D$40)</f>
        <v>842.00111127335299</v>
      </c>
      <c r="K39" s="318">
        <f>IF(SUM(K7:K37)=0,0,SUM(K7:K37)/'Resid Cust Fcst '!$D$40)</f>
        <v>787.35077273512104</v>
      </c>
      <c r="L39" s="318">
        <f>IF(SUM(L7:L37)=0,0,SUM(L7:L37)/'Resid Cust Fcst '!$D$40)</f>
        <v>373.18000000000006</v>
      </c>
      <c r="M39" s="319">
        <f>SUM(J39:L39)</f>
        <v>2002.531884008474</v>
      </c>
      <c r="N39" s="317">
        <f>IF(SUM(N7:N37)=0,0,SUM(N7:N37)/'Resid Cust Fcst '!$E$40)</f>
        <v>1171.1644937656126</v>
      </c>
      <c r="O39" s="318">
        <f>IF(SUM(O7:O37)=0,0,SUM(O7:O37)/'Resid Cust Fcst '!$E$40)</f>
        <v>817.2687983915315</v>
      </c>
      <c r="P39" s="318">
        <f>IF(SUM(P7:P37)=0,0,SUM(P7:P37)/'Resid Cust Fcst '!$E$40)</f>
        <v>373.18</v>
      </c>
      <c r="Q39" s="319">
        <f>SUM(N39:P39)</f>
        <v>2361.6132921571439</v>
      </c>
      <c r="R39" s="317">
        <f>IF(SUM(R7:R37)=0,0,SUM(R7:R37)/'Resid Cust Fcst '!$F$40)</f>
        <v>624.70859022716911</v>
      </c>
      <c r="S39" s="318">
        <f>IF(SUM(S7:S37)=0,0,SUM(S7:S37)/'Resid Cust Fcst '!$F$40)</f>
        <v>153.35209534468817</v>
      </c>
      <c r="T39" s="318">
        <f>IF(SUM(T7:T37)=0,0,SUM(T7:T37)/'Resid Cust Fcst '!$F$40)</f>
        <v>246.44985885707982</v>
      </c>
      <c r="U39" s="319">
        <f>SUM(R39:T39)</f>
        <v>1024.510544428937</v>
      </c>
      <c r="V39" s="317">
        <f>IF(SUM(V7:V37)=0,0,SUM(V7:V37)/'Resid Cust Fcst '!$G$40)</f>
        <v>0</v>
      </c>
      <c r="W39" s="318">
        <f>IF(SUM(W7:W37)=0,0,SUM(W7:W37)/'Resid Cust Fcst '!$G$40)</f>
        <v>0</v>
      </c>
      <c r="X39" s="318">
        <f>IF(SUM(X7:X37)=0,0,SUM(X7:X37)/'Resid Cust Fcst '!$G$40)</f>
        <v>0</v>
      </c>
      <c r="Y39" s="319">
        <f>SUM(V39:X39)</f>
        <v>0</v>
      </c>
      <c r="Z39" s="317">
        <f>IF(SUM(Z7:Z37)=0,0,SUM(Z7:Z37)/'Resid Cust Fcst '!$H$40)</f>
        <v>624.70859022716911</v>
      </c>
      <c r="AA39" s="318">
        <f>IF(SUM(AA7:AA37)=0,0,SUM(AA7:AA37)/'Resid Cust Fcst '!$H$40)</f>
        <v>153.35209534468817</v>
      </c>
      <c r="AB39" s="318">
        <f>IF(SUM(AB7:AB37)=0,0,SUM(AB7:AB37)/'Resid Cust Fcst '!$H$40)</f>
        <v>246.44985885707982</v>
      </c>
      <c r="AC39" s="319">
        <f>SUM(Z39:AB39)</f>
        <v>1024.510544428937</v>
      </c>
    </row>
    <row r="40" spans="1:29">
      <c r="A40" s="55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</row>
    <row r="41" spans="1:29">
      <c r="A41" s="340" t="s">
        <v>102</v>
      </c>
      <c r="B41" s="18"/>
      <c r="C41" s="18"/>
      <c r="D41" s="18"/>
      <c r="E41" s="23">
        <f>IF(SUM(B7:D37)=0,0,SUM(B7:D37)/'Resid Cust Fcst '!B40)-E39</f>
        <v>0</v>
      </c>
      <c r="F41" s="18"/>
      <c r="G41" s="18"/>
      <c r="H41" s="18"/>
      <c r="I41" s="23">
        <f>IF(SUM(F7:H37)=0,0,SUM(F7:H37)/'Resid Cust Fcst '!C40)-I39</f>
        <v>0</v>
      </c>
      <c r="J41" s="18"/>
      <c r="K41" s="18"/>
      <c r="L41" s="18"/>
      <c r="M41" s="23">
        <f>IF(SUM(J7:L37)=0,0,SUM(J7:L37)/'Resid Cust Fcst '!D40)-M39</f>
        <v>0</v>
      </c>
      <c r="N41" s="18"/>
      <c r="O41" s="18"/>
      <c r="P41" s="18"/>
      <c r="Q41" s="23">
        <f>IF(SUM(N7:P37)=0,0,SUM(N7:P37)/'Resid Cust Fcst '!E40)-Q39</f>
        <v>0</v>
      </c>
      <c r="R41" s="18"/>
      <c r="S41" s="18"/>
      <c r="T41" s="18"/>
      <c r="U41" s="23">
        <f>IF(SUM(R7:T37)=0,0,SUM(R7:T37)/'Resid Cust Fcst '!F40)-U39</f>
        <v>0</v>
      </c>
      <c r="V41" s="18"/>
      <c r="W41" s="18"/>
      <c r="X41" s="18"/>
      <c r="Y41" s="23">
        <f>IF(SUM(V7:X37)=0,0,SUM(V7:X37)/'Resid Cust Fcst '!G40)-Y39</f>
        <v>0</v>
      </c>
      <c r="Z41" s="18"/>
      <c r="AA41" s="18"/>
      <c r="AB41" s="18"/>
      <c r="AC41" s="23">
        <f>IF(SUM(Z7:AB37)=0,0,SUM(Z7:AB37)/'Resid Cust Fcst '!H40)-AC39</f>
        <v>0</v>
      </c>
    </row>
    <row r="42" spans="1:29">
      <c r="N42" s="56"/>
      <c r="O42" s="56"/>
      <c r="P42" s="56"/>
    </row>
    <row r="43" spans="1:29">
      <c r="N43" s="56"/>
      <c r="O43" s="56"/>
      <c r="P43" s="56"/>
    </row>
    <row r="44" spans="1:29">
      <c r="A44" s="19"/>
      <c r="N44" s="18"/>
      <c r="O44" s="18"/>
      <c r="P44" s="18"/>
    </row>
    <row r="56" spans="1:1">
      <c r="A56" s="19"/>
    </row>
  </sheetData>
  <mergeCells count="9">
    <mergeCell ref="A1:Y1"/>
    <mergeCell ref="B2:U2"/>
    <mergeCell ref="V2:Y2"/>
    <mergeCell ref="Z2:AC2"/>
    <mergeCell ref="B3:E3"/>
    <mergeCell ref="F3:I3"/>
    <mergeCell ref="J3:M3"/>
    <mergeCell ref="N3:Q3"/>
    <mergeCell ref="R3:U3"/>
  </mergeCells>
  <printOptions horizontalCentered="1"/>
  <pageMargins left="0.75" right="0.75" top="1" bottom="1" header="0.5" footer="0.5"/>
  <pageSetup scale="39" orientation="portrait" r:id="rId1"/>
  <headerFooter alignWithMargins="0">
    <oddFooter>&amp;L&amp;F
&amp;A&amp;R&amp;P of &amp;N</oddFooter>
  </headerFooter>
  <colBreaks count="1" manualBreakCount="1">
    <brk id="13" max="38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9">
    <tabColor rgb="FFC00000"/>
  </sheetPr>
  <dimension ref="A1:AC56"/>
  <sheetViews>
    <sheetView zoomScaleNormal="100" workbookViewId="0">
      <selection activeCell="C10" sqref="C10"/>
    </sheetView>
  </sheetViews>
  <sheetFormatPr defaultRowHeight="12.75"/>
  <cols>
    <col min="1" max="1" width="39" customWidth="1"/>
    <col min="2" max="2" width="12.85546875" bestFit="1" customWidth="1"/>
    <col min="3" max="3" width="11.28515625" bestFit="1" customWidth="1"/>
    <col min="4" max="4" width="12.28515625" bestFit="1" customWidth="1"/>
    <col min="5" max="5" width="9.28515625" bestFit="1" customWidth="1"/>
    <col min="6" max="6" width="12.85546875" bestFit="1" customWidth="1"/>
    <col min="7" max="7" width="11.28515625" bestFit="1" customWidth="1"/>
    <col min="8" max="8" width="10.28515625" bestFit="1" customWidth="1"/>
    <col min="9" max="9" width="11.28515625" bestFit="1" customWidth="1"/>
    <col min="10" max="10" width="12.85546875" customWidth="1"/>
    <col min="11" max="11" width="12.28515625" customWidth="1"/>
    <col min="12" max="12" width="12.28515625" bestFit="1" customWidth="1"/>
    <col min="13" max="13" width="10.28515625" bestFit="1" customWidth="1"/>
    <col min="14" max="14" width="12.85546875" customWidth="1"/>
    <col min="15" max="15" width="10" customWidth="1"/>
    <col min="16" max="17" width="10.28515625" bestFit="1" customWidth="1"/>
    <col min="18" max="18" width="12.85546875" bestFit="1" customWidth="1"/>
    <col min="19" max="20" width="12.28515625" bestFit="1" customWidth="1"/>
    <col min="21" max="21" width="11.28515625" bestFit="1" customWidth="1"/>
    <col min="22" max="22" width="12.85546875" bestFit="1" customWidth="1"/>
    <col min="23" max="25" width="10.28515625" customWidth="1"/>
    <col min="26" max="29" width="13.85546875" customWidth="1"/>
  </cols>
  <sheetData>
    <row r="1" spans="1:29" ht="18.75" thickBot="1">
      <c r="A1" s="841" t="s">
        <v>93</v>
      </c>
      <c r="B1" s="841"/>
      <c r="C1" s="841"/>
      <c r="D1" s="841"/>
      <c r="E1" s="841"/>
      <c r="F1" s="841"/>
      <c r="G1" s="841"/>
      <c r="H1" s="841"/>
      <c r="I1" s="841"/>
      <c r="J1" s="841"/>
      <c r="K1" s="841"/>
      <c r="L1" s="841"/>
      <c r="M1" s="841"/>
      <c r="N1" s="841"/>
      <c r="O1" s="841"/>
      <c r="P1" s="841"/>
      <c r="Q1" s="841"/>
      <c r="R1" s="841"/>
      <c r="S1" s="841"/>
      <c r="T1" s="841"/>
      <c r="U1" s="841"/>
      <c r="V1" s="841"/>
      <c r="W1" s="841"/>
      <c r="X1" s="841"/>
      <c r="Y1" s="841"/>
    </row>
    <row r="2" spans="1:29" ht="13.5" thickBot="1">
      <c r="A2" s="131"/>
      <c r="B2" s="834" t="s">
        <v>132</v>
      </c>
      <c r="C2" s="835"/>
      <c r="D2" s="835"/>
      <c r="E2" s="835"/>
      <c r="F2" s="835"/>
      <c r="G2" s="835"/>
      <c r="H2" s="835"/>
      <c r="I2" s="835"/>
      <c r="J2" s="835"/>
      <c r="K2" s="835"/>
      <c r="L2" s="835"/>
      <c r="M2" s="835"/>
      <c r="N2" s="835"/>
      <c r="O2" s="835"/>
      <c r="P2" s="835"/>
      <c r="Q2" s="835"/>
      <c r="R2" s="835"/>
      <c r="S2" s="835"/>
      <c r="T2" s="835"/>
      <c r="U2" s="837"/>
      <c r="V2" s="834" t="s">
        <v>133</v>
      </c>
      <c r="W2" s="835"/>
      <c r="X2" s="835"/>
      <c r="Y2" s="837"/>
      <c r="Z2" s="834" t="s">
        <v>147</v>
      </c>
      <c r="AA2" s="835"/>
      <c r="AB2" s="835"/>
      <c r="AC2" s="837"/>
    </row>
    <row r="3" spans="1:29">
      <c r="A3" s="196"/>
      <c r="B3" s="842" t="s">
        <v>127</v>
      </c>
      <c r="C3" s="843"/>
      <c r="D3" s="843"/>
      <c r="E3" s="844"/>
      <c r="F3" s="842" t="s">
        <v>114</v>
      </c>
      <c r="G3" s="843"/>
      <c r="H3" s="843"/>
      <c r="I3" s="844"/>
      <c r="J3" s="842" t="s">
        <v>115</v>
      </c>
      <c r="K3" s="843"/>
      <c r="L3" s="843"/>
      <c r="M3" s="844"/>
      <c r="N3" s="842" t="s">
        <v>113</v>
      </c>
      <c r="O3" s="843"/>
      <c r="P3" s="843"/>
      <c r="Q3" s="844"/>
      <c r="R3" s="836" t="s">
        <v>138</v>
      </c>
      <c r="S3" s="843"/>
      <c r="T3" s="843"/>
      <c r="U3" s="844"/>
      <c r="V3" s="345"/>
      <c r="W3" s="346"/>
      <c r="X3" s="346"/>
      <c r="Y3" s="347"/>
      <c r="Z3" s="345"/>
      <c r="AA3" s="346"/>
      <c r="AB3" s="346"/>
      <c r="AC3" s="347"/>
    </row>
    <row r="4" spans="1:29" ht="13.5" thickBot="1">
      <c r="A4" s="102" t="s">
        <v>4</v>
      </c>
      <c r="B4" s="348" t="s">
        <v>36</v>
      </c>
      <c r="C4" s="349" t="s">
        <v>37</v>
      </c>
      <c r="D4" s="349" t="s">
        <v>38</v>
      </c>
      <c r="E4" s="350" t="s">
        <v>41</v>
      </c>
      <c r="F4" s="348" t="s">
        <v>36</v>
      </c>
      <c r="G4" s="349" t="s">
        <v>37</v>
      </c>
      <c r="H4" s="349" t="s">
        <v>38</v>
      </c>
      <c r="I4" s="350" t="s">
        <v>41</v>
      </c>
      <c r="J4" s="348" t="s">
        <v>36</v>
      </c>
      <c r="K4" s="349" t="s">
        <v>37</v>
      </c>
      <c r="L4" s="349" t="s">
        <v>40</v>
      </c>
      <c r="M4" s="350" t="s">
        <v>41</v>
      </c>
      <c r="N4" s="348" t="s">
        <v>36</v>
      </c>
      <c r="O4" s="349" t="s">
        <v>37</v>
      </c>
      <c r="P4" s="349" t="s">
        <v>40</v>
      </c>
      <c r="Q4" s="350" t="s">
        <v>41</v>
      </c>
      <c r="R4" s="348" t="s">
        <v>36</v>
      </c>
      <c r="S4" s="349" t="s">
        <v>37</v>
      </c>
      <c r="T4" s="349" t="s">
        <v>38</v>
      </c>
      <c r="U4" s="350" t="s">
        <v>41</v>
      </c>
      <c r="V4" s="348" t="s">
        <v>36</v>
      </c>
      <c r="W4" s="349" t="s">
        <v>37</v>
      </c>
      <c r="X4" s="349" t="s">
        <v>40</v>
      </c>
      <c r="Y4" s="350" t="s">
        <v>41</v>
      </c>
      <c r="Z4" s="348" t="s">
        <v>36</v>
      </c>
      <c r="AA4" s="349" t="s">
        <v>37</v>
      </c>
      <c r="AB4" s="349" t="s">
        <v>40</v>
      </c>
      <c r="AC4" s="350" t="s">
        <v>41</v>
      </c>
    </row>
    <row r="5" spans="1:29">
      <c r="A5" s="133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5" t="s">
        <v>42</v>
      </c>
      <c r="K5" s="6" t="s">
        <v>42</v>
      </c>
      <c r="L5" s="6" t="s">
        <v>42</v>
      </c>
      <c r="M5" s="7" t="s">
        <v>43</v>
      </c>
      <c r="N5" s="5" t="s">
        <v>42</v>
      </c>
      <c r="O5" s="6" t="s">
        <v>42</v>
      </c>
      <c r="P5" s="6" t="s">
        <v>42</v>
      </c>
      <c r="Q5" s="7" t="s">
        <v>43</v>
      </c>
      <c r="R5" s="5" t="s">
        <v>42</v>
      </c>
      <c r="S5" s="6" t="s">
        <v>42</v>
      </c>
      <c r="T5" s="6" t="s">
        <v>42</v>
      </c>
      <c r="U5" s="7" t="s">
        <v>43</v>
      </c>
      <c r="V5" s="132" t="s">
        <v>42</v>
      </c>
      <c r="W5" s="8" t="s">
        <v>42</v>
      </c>
      <c r="X5" s="8" t="s">
        <v>42</v>
      </c>
      <c r="Y5" s="9" t="s">
        <v>43</v>
      </c>
      <c r="Z5" s="132" t="s">
        <v>42</v>
      </c>
      <c r="AA5" s="8" t="s">
        <v>42</v>
      </c>
      <c r="AB5" s="8" t="s">
        <v>42</v>
      </c>
      <c r="AC5" s="9" t="s">
        <v>43</v>
      </c>
    </row>
    <row r="6" spans="1:29">
      <c r="A6" s="112"/>
      <c r="B6" s="132"/>
      <c r="C6" s="8"/>
      <c r="D6" s="8"/>
      <c r="E6" s="9"/>
      <c r="F6" s="132"/>
      <c r="G6" s="8"/>
      <c r="H6" s="8"/>
      <c r="I6" s="9"/>
      <c r="J6" s="132"/>
      <c r="K6" s="8"/>
      <c r="L6" s="8"/>
      <c r="M6" s="9"/>
      <c r="N6" s="132"/>
      <c r="O6" s="8"/>
      <c r="P6" s="8"/>
      <c r="Q6" s="9"/>
      <c r="R6" s="132"/>
      <c r="S6" s="8"/>
      <c r="T6" s="8"/>
      <c r="U6" s="9"/>
      <c r="V6" s="132"/>
      <c r="W6" s="8"/>
      <c r="X6" s="8"/>
      <c r="Y6" s="9"/>
      <c r="Z6" s="132"/>
      <c r="AA6" s="8"/>
      <c r="AB6" s="8"/>
      <c r="AC6" s="9"/>
    </row>
    <row r="7" spans="1:29">
      <c r="A7" s="153" t="s">
        <v>5</v>
      </c>
      <c r="B7" s="137">
        <f>'Resid Cust Fcst '!$I8*'Resid TSM UC Adj'!B7</f>
        <v>526363.79840417509</v>
      </c>
      <c r="C7" s="23">
        <f>'Resid Cust Fcst '!$I8*'Resid TSM UC Adj'!C7</f>
        <v>297539.43005923188</v>
      </c>
      <c r="D7" s="23">
        <f>'Resid Cust Fcst '!$I8*'Resid TSM UC Adj'!D7</f>
        <v>528191.95323529409</v>
      </c>
      <c r="E7" s="45">
        <f>IF(SUM(B7:D7)=0,0,SUM(B7:D7)/'Resid Cust Fcst '!I8)</f>
        <v>630.34740405533842</v>
      </c>
      <c r="F7" s="137">
        <f>'Resid Cust Fcst '!$J8*'Resid TSM UC Adj'!F7</f>
        <v>0</v>
      </c>
      <c r="G7" s="23">
        <f>'Resid Cust Fcst '!$J8*'Resid TSM UC Adj'!G7</f>
        <v>0</v>
      </c>
      <c r="H7" s="23">
        <f>'Resid Cust Fcst '!$J8*'Resid TSM UC Adj'!H7</f>
        <v>0</v>
      </c>
      <c r="I7" s="45">
        <f>IF(SUM(F7:H7)=0,0,SUM(F7:H7)/'Resid Cust Fcst '!J8)</f>
        <v>0</v>
      </c>
      <c r="J7" s="137">
        <f>'Resid Cust Fcst '!$K8*'Resid TSM UC Adj'!J7</f>
        <v>0</v>
      </c>
      <c r="K7" s="23">
        <f>'Resid Cust Fcst '!$K8*'Resid TSM UC Adj'!K7</f>
        <v>0</v>
      </c>
      <c r="L7" s="23">
        <f>'Resid Cust Fcst '!$K8*'Resid TSM UC Adj'!L7</f>
        <v>0</v>
      </c>
      <c r="M7" s="45">
        <f>IF(SUM(J7:L7)=0,0,SUM(J7:L7)/'Resid Cust Fcst '!K8)</f>
        <v>0</v>
      </c>
      <c r="N7" s="137">
        <f>'Resid Cust Fcst '!$L8*'Resid TSM UC Adj'!N7</f>
        <v>0</v>
      </c>
      <c r="O7" s="23">
        <f>'Resid Cust Fcst '!$L8*'Resid TSM UC Adj'!O7</f>
        <v>0</v>
      </c>
      <c r="P7" s="23">
        <f>'Resid Cust Fcst '!$L8*'Resid TSM UC Adj'!P7</f>
        <v>0</v>
      </c>
      <c r="Q7" s="45">
        <f>IF(SUM(N7:P7)=0,0,SUM(N7:P7)/'Resid Cust Fcst '!L8)</f>
        <v>0</v>
      </c>
      <c r="R7" s="137">
        <f>B7+F7+J7+N7</f>
        <v>526363.79840417509</v>
      </c>
      <c r="S7" s="23">
        <f t="shared" ref="S7:T22" si="0">C7+G7+K7+O7</f>
        <v>297539.43005923188</v>
      </c>
      <c r="T7" s="23">
        <f t="shared" si="0"/>
        <v>528191.95323529409</v>
      </c>
      <c r="U7" s="45">
        <f>IF(SUM(R7:T7)=0,0,SUM(R7:T7)/'Resid Cust Fcst '!M8)</f>
        <v>630.34740405533842</v>
      </c>
      <c r="V7" s="137">
        <f>'Resid Cust Fcst '!$N8*'Resid TSM UC Adj'!R7</f>
        <v>0</v>
      </c>
      <c r="W7" s="23">
        <f>'Resid Cust Fcst '!$N8*'Resid TSM UC Adj'!S7</f>
        <v>0</v>
      </c>
      <c r="X7" s="23">
        <f>'Resid Cust Fcst '!$N8*'Resid TSM UC Adj'!T7</f>
        <v>0</v>
      </c>
      <c r="Y7" s="45">
        <f>IF(SUM(V7:X7)=0,0,SUM(V7:X7)/'Resid Cust Fcst '!N8)</f>
        <v>0</v>
      </c>
      <c r="Z7" s="137">
        <f>R7+V7</f>
        <v>526363.79840417509</v>
      </c>
      <c r="AA7" s="23">
        <f t="shared" ref="AA7:AB22" si="1">S7+W7</f>
        <v>297539.43005923188</v>
      </c>
      <c r="AB7" s="23">
        <f t="shared" si="1"/>
        <v>528191.95323529409</v>
      </c>
      <c r="AC7" s="45">
        <f>IF(SUM(Z7:AB7)=0,0,SUM(Z7:AB7)/'Resid Cust Fcst '!O8)</f>
        <v>630.34740405533842</v>
      </c>
    </row>
    <row r="8" spans="1:29">
      <c r="A8" s="155" t="s">
        <v>6</v>
      </c>
      <c r="B8" s="137">
        <f>'Resid Cust Fcst '!$I9*'Resid TSM UC Adj'!B8</f>
        <v>704903.31390683679</v>
      </c>
      <c r="C8" s="23">
        <f>'Resid Cust Fcst '!$I9*'Resid TSM UC Adj'!C8</f>
        <v>126783.7012000643</v>
      </c>
      <c r="D8" s="23">
        <f>'Resid Cust Fcst '!$I9*'Resid TSM UC Adj'!D8</f>
        <v>225066.40804524886</v>
      </c>
      <c r="E8" s="45">
        <f>IF(SUM(B8:D8)=0,0,SUM(B8:D8)/'Resid Cust Fcst '!I9)</f>
        <v>1156.1853644990699</v>
      </c>
      <c r="F8" s="137">
        <f>'Resid Cust Fcst '!$J9*'Resid TSM UC Adj'!F8</f>
        <v>872.94432902334779</v>
      </c>
      <c r="G8" s="23">
        <f>'Resid Cust Fcst '!$J9*'Resid TSM UC Adj'!G8</f>
        <v>754.14273000301057</v>
      </c>
      <c r="H8" s="23">
        <f>'Resid Cust Fcst '!$J9*'Resid TSM UC Adj'!H8</f>
        <v>373.18</v>
      </c>
      <c r="I8" s="45">
        <f>IF(SUM(F8:H8)=0,0,SUM(F8:H8)/'Resid Cust Fcst '!J9)</f>
        <v>2000.2670590263585</v>
      </c>
      <c r="J8" s="137">
        <f>'Resid Cust Fcst '!$K9*'Resid TSM UC Adj'!J8</f>
        <v>917.870117202095</v>
      </c>
      <c r="K8" s="23">
        <f>'Resid Cust Fcst '!$K9*'Resid TSM UC Adj'!K8</f>
        <v>754.14273000301057</v>
      </c>
      <c r="L8" s="23">
        <f>'Resid Cust Fcst '!$K9*'Resid TSM UC Adj'!L8</f>
        <v>373.18</v>
      </c>
      <c r="M8" s="45">
        <f>IF(SUM(J8:L8)=0,0,SUM(J8:L8)/'Resid Cust Fcst '!K9)</f>
        <v>2045.1928472051056</v>
      </c>
      <c r="N8" s="137">
        <f>'Resid Cust Fcst '!$L9*'Resid TSM UC Adj'!N8</f>
        <v>0</v>
      </c>
      <c r="O8" s="23">
        <f>'Resid Cust Fcst '!$L9*'Resid TSM UC Adj'!O8</f>
        <v>0</v>
      </c>
      <c r="P8" s="23">
        <f>'Resid Cust Fcst '!$L9*'Resid TSM UC Adj'!P8</f>
        <v>0</v>
      </c>
      <c r="Q8" s="45">
        <f>IF(SUM(N8:P8)=0,0,SUM(N8:P8)/'Resid Cust Fcst '!L9)</f>
        <v>0</v>
      </c>
      <c r="R8" s="137">
        <f t="shared" ref="R8:R37" si="2">B8+F8+J8+N8</f>
        <v>706694.1283530622</v>
      </c>
      <c r="S8" s="23">
        <f t="shared" si="0"/>
        <v>128291.98666007031</v>
      </c>
      <c r="T8" s="23">
        <f t="shared" si="0"/>
        <v>225812.76804524884</v>
      </c>
      <c r="U8" s="45">
        <f>IF(SUM(R8:T8)=0,0,SUM(R8:T8)/'Resid Cust Fcst '!M9)</f>
        <v>1158.0773832515081</v>
      </c>
      <c r="V8" s="137">
        <f>'Resid Cust Fcst '!$N9*'Resid TSM UC Adj'!R8</f>
        <v>0</v>
      </c>
      <c r="W8" s="23">
        <f>'Resid Cust Fcst '!$N9*'Resid TSM UC Adj'!S8</f>
        <v>0</v>
      </c>
      <c r="X8" s="23">
        <f>'Resid Cust Fcst '!$N9*'Resid TSM UC Adj'!T8</f>
        <v>0</v>
      </c>
      <c r="Y8" s="45">
        <f>IF(SUM(V8:X8)=0,0,SUM(V8:X8)/'Resid Cust Fcst '!N9)</f>
        <v>0</v>
      </c>
      <c r="Z8" s="137">
        <f t="shared" ref="Z8:Z37" si="3">R8+V8</f>
        <v>706694.1283530622</v>
      </c>
      <c r="AA8" s="23">
        <f t="shared" si="1"/>
        <v>128291.98666007031</v>
      </c>
      <c r="AB8" s="23">
        <f t="shared" si="1"/>
        <v>225812.76804524884</v>
      </c>
      <c r="AC8" s="45">
        <f>IF(SUM(Z8:AB8)=0,0,SUM(Z8:AB8)/'Resid Cust Fcst '!O9)</f>
        <v>1158.0773832515081</v>
      </c>
    </row>
    <row r="9" spans="1:29">
      <c r="A9" s="155" t="s">
        <v>7</v>
      </c>
      <c r="B9" s="137">
        <f>'Resid Cust Fcst '!$I10*'Resid TSM UC Adj'!B9</f>
        <v>217968.59856993405</v>
      </c>
      <c r="C9" s="23">
        <f>'Resid Cust Fcst '!$I10*'Resid TSM UC Adj'!C9</f>
        <v>63153.700320286145</v>
      </c>
      <c r="D9" s="23">
        <f>'Resid Cust Fcst '!$I10*'Resid TSM UC Adj'!D9</f>
        <v>79536.597153846145</v>
      </c>
      <c r="E9" s="45">
        <f>IF(SUM(B9:D9)=0,0,SUM(B9:D9)/'Resid Cust Fcst '!I10)</f>
        <v>1116.5910094243538</v>
      </c>
      <c r="F9" s="137">
        <f>'Resid Cust Fcst '!$J10*'Resid TSM UC Adj'!F9</f>
        <v>3491.7773160933912</v>
      </c>
      <c r="G9" s="23">
        <f>'Resid Cust Fcst '!$J10*'Resid TSM UC Adj'!G9</f>
        <v>1776.5712506572356</v>
      </c>
      <c r="H9" s="23">
        <f>'Resid Cust Fcst '!$J10*'Resid TSM UC Adj'!H9</f>
        <v>746.36</v>
      </c>
      <c r="I9" s="45">
        <f>IF(SUM(F9:H9)=0,0,SUM(F9:H9)/'Resid Cust Fcst '!J10)</f>
        <v>3007.3542833753131</v>
      </c>
      <c r="J9" s="137">
        <f>'Resid Cust Fcst '!$K10*'Resid TSM UC Adj'!J9</f>
        <v>5507.2207032125698</v>
      </c>
      <c r="K9" s="23">
        <f>'Resid Cust Fcst '!$K10*'Resid TSM UC Adj'!K9</f>
        <v>2664.8568759858535</v>
      </c>
      <c r="L9" s="23">
        <f>'Resid Cust Fcst '!$K10*'Resid TSM UC Adj'!L9</f>
        <v>1119.54</v>
      </c>
      <c r="M9" s="45">
        <f>IF(SUM(J9:L9)=0,0,SUM(J9:L9)/'Resid Cust Fcst '!K10)</f>
        <v>3097.2058597328082</v>
      </c>
      <c r="N9" s="137">
        <f>'Resid Cust Fcst '!$L10*'Resid TSM UC Adj'!N9</f>
        <v>0</v>
      </c>
      <c r="O9" s="23">
        <f>'Resid Cust Fcst '!$L10*'Resid TSM UC Adj'!O9</f>
        <v>0</v>
      </c>
      <c r="P9" s="23">
        <f>'Resid Cust Fcst '!$L10*'Resid TSM UC Adj'!P9</f>
        <v>0</v>
      </c>
      <c r="Q9" s="45">
        <f>IF(SUM(N9:P9)=0,0,SUM(N9:P9)/'Resid Cust Fcst '!L10)</f>
        <v>0</v>
      </c>
      <c r="R9" s="137">
        <f t="shared" si="2"/>
        <v>226967.59658924001</v>
      </c>
      <c r="S9" s="23">
        <f t="shared" si="0"/>
        <v>67595.128446929244</v>
      </c>
      <c r="T9" s="23">
        <f t="shared" si="0"/>
        <v>81402.49715384614</v>
      </c>
      <c r="U9" s="45">
        <f>IF(SUM(R9:T9)=0,0,SUM(R9:T9)/'Resid Cust Fcst '!M10)</f>
        <v>1146.2354335061445</v>
      </c>
      <c r="V9" s="137">
        <f>'Resid Cust Fcst '!$N10*'Resid TSM UC Adj'!R9</f>
        <v>0</v>
      </c>
      <c r="W9" s="23">
        <f>'Resid Cust Fcst '!$N10*'Resid TSM UC Adj'!S9</f>
        <v>0</v>
      </c>
      <c r="X9" s="23">
        <f>'Resid Cust Fcst '!$N10*'Resid TSM UC Adj'!T9</f>
        <v>0</v>
      </c>
      <c r="Y9" s="45">
        <f>IF(SUM(V9:X9)=0,0,SUM(V9:X9)/'Resid Cust Fcst '!N10)</f>
        <v>0</v>
      </c>
      <c r="Z9" s="137">
        <f t="shared" si="3"/>
        <v>226967.59658924001</v>
      </c>
      <c r="AA9" s="23">
        <f t="shared" si="1"/>
        <v>67595.128446929244</v>
      </c>
      <c r="AB9" s="23">
        <f t="shared" si="1"/>
        <v>81402.49715384614</v>
      </c>
      <c r="AC9" s="45">
        <f>IF(SUM(Z9:AB9)=0,0,SUM(Z9:AB9)/'Resid Cust Fcst '!O10)</f>
        <v>1146.2354335061445</v>
      </c>
    </row>
    <row r="10" spans="1:29" s="58" customFormat="1">
      <c r="A10" s="288" t="s">
        <v>124</v>
      </c>
      <c r="B10" s="137">
        <f>'Resid Cust Fcst '!$I11*'Resid TSM UC Adj'!B10</f>
        <v>186251.80558916967</v>
      </c>
      <c r="C10" s="23">
        <f>'Resid Cust Fcst '!$I11*'Resid TSM UC Adj'!C10</f>
        <v>29494.988148709555</v>
      </c>
      <c r="D10" s="23">
        <f>'Resid Cust Fcst '!$I11*'Resid TSM UC Adj'!D10</f>
        <v>33981.580208144798</v>
      </c>
      <c r="E10" s="45">
        <f>IF(SUM(B10:D10)=0,0,SUM(B10:D10)/'Resid Cust Fcst '!I11)</f>
        <v>1809.6258981595943</v>
      </c>
      <c r="F10" s="137">
        <f>'Resid Cust Fcst '!$J11*'Resid TSM UC Adj'!F10</f>
        <v>7918.1374986855262</v>
      </c>
      <c r="G10" s="23">
        <f>'Resid Cust Fcst '!$J11*'Resid TSM UC Adj'!G10</f>
        <v>3553.1425013144712</v>
      </c>
      <c r="H10" s="23">
        <f>'Resid Cust Fcst '!$J11*'Resid TSM UC Adj'!H10</f>
        <v>1492.72</v>
      </c>
      <c r="I10" s="45">
        <f>IF(SUM(F10:H10)=0,0,SUM(F10:H10)/'Resid Cust Fcst '!J11)</f>
        <v>3240.9999999999991</v>
      </c>
      <c r="J10" s="137">
        <f>'Resid Cust Fcst '!$K11*'Resid TSM UC Adj'!J10</f>
        <v>5938.6031240141447</v>
      </c>
      <c r="K10" s="23">
        <f>'Resid Cust Fcst '!$K11*'Resid TSM UC Adj'!K10</f>
        <v>2664.8568759858535</v>
      </c>
      <c r="L10" s="23">
        <f>'Resid Cust Fcst '!$K11*'Resid TSM UC Adj'!L10</f>
        <v>1119.54</v>
      </c>
      <c r="M10" s="45">
        <f>IF(SUM(J10:L10)=0,0,SUM(J10:L10)/'Resid Cust Fcst '!K11)</f>
        <v>3241</v>
      </c>
      <c r="N10" s="137">
        <f>'Resid Cust Fcst '!$L11*'Resid TSM UC Adj'!N10</f>
        <v>0</v>
      </c>
      <c r="O10" s="23">
        <f>'Resid Cust Fcst '!$L11*'Resid TSM UC Adj'!O10</f>
        <v>0</v>
      </c>
      <c r="P10" s="23">
        <f>'Resid Cust Fcst '!$L11*'Resid TSM UC Adj'!P10</f>
        <v>0</v>
      </c>
      <c r="Q10" s="45">
        <f>IF(SUM(N10:P10)=0,0,SUM(N10:P10)/'Resid Cust Fcst '!L11)</f>
        <v>0</v>
      </c>
      <c r="R10" s="137">
        <f t="shared" si="2"/>
        <v>200108.54621186934</v>
      </c>
      <c r="S10" s="23">
        <f t="shared" si="0"/>
        <v>35712.987526009878</v>
      </c>
      <c r="T10" s="23">
        <f t="shared" si="0"/>
        <v>36593.8402081448</v>
      </c>
      <c r="U10" s="45">
        <f>IF(SUM(R10:T10)=0,0,SUM(R10:T10)/'Resid Cust Fcst '!M11)</f>
        <v>1878.726716869131</v>
      </c>
      <c r="V10" s="137">
        <f>'Resid Cust Fcst '!$N11*'Resid TSM UC Adj'!R10</f>
        <v>0</v>
      </c>
      <c r="W10" s="23">
        <f>'Resid Cust Fcst '!$N11*'Resid TSM UC Adj'!S10</f>
        <v>0</v>
      </c>
      <c r="X10" s="23">
        <f>'Resid Cust Fcst '!$N11*'Resid TSM UC Adj'!T10</f>
        <v>0</v>
      </c>
      <c r="Y10" s="45">
        <f>IF(SUM(V10:X10)=0,0,SUM(V10:X10)/'Resid Cust Fcst '!N11)</f>
        <v>0</v>
      </c>
      <c r="Z10" s="137">
        <f t="shared" si="3"/>
        <v>200108.54621186934</v>
      </c>
      <c r="AA10" s="23">
        <f t="shared" si="1"/>
        <v>35712.987526009878</v>
      </c>
      <c r="AB10" s="23">
        <f t="shared" si="1"/>
        <v>36593.8402081448</v>
      </c>
      <c r="AC10" s="45">
        <f>IF(SUM(Z10:AB10)=0,0,SUM(Z10:AB10)/'Resid Cust Fcst '!O11)</f>
        <v>1878.726716869131</v>
      </c>
    </row>
    <row r="11" spans="1:29">
      <c r="A11" s="153" t="s">
        <v>116</v>
      </c>
      <c r="B11" s="137">
        <f>'Resid Cust Fcst '!$I12*'Resid TSM UC Adj'!B11</f>
        <v>41839.173719306229</v>
      </c>
      <c r="C11" s="23">
        <f>'Resid Cust Fcst '!$I12*'Resid TSM UC Adj'!C11</f>
        <v>6625.6857435506972</v>
      </c>
      <c r="D11" s="23">
        <f>'Resid Cust Fcst '!$I12*'Resid TSM UC Adj'!D11</f>
        <v>7633.5433800904975</v>
      </c>
      <c r="E11" s="45">
        <f>IF(SUM(B11:D11)=0,0,SUM(B11:D11)/'Resid Cust Fcst '!I12)</f>
        <v>1809.6258981595945</v>
      </c>
      <c r="F11" s="137">
        <f>'Resid Cust Fcst '!$J12*'Resid TSM UC Adj'!F11</f>
        <v>0</v>
      </c>
      <c r="G11" s="23">
        <f>'Resid Cust Fcst '!$J12*'Resid TSM UC Adj'!G11</f>
        <v>0</v>
      </c>
      <c r="H11" s="23">
        <f>'Resid Cust Fcst '!$J12*'Resid TSM UC Adj'!H11</f>
        <v>0</v>
      </c>
      <c r="I11" s="45">
        <f>IF(SUM(F11:H11)=0,0,SUM(F11:H11)/'Resid Cust Fcst '!J12)</f>
        <v>0</v>
      </c>
      <c r="J11" s="137">
        <f>'Resid Cust Fcst '!$K12*'Resid TSM UC Adj'!J11</f>
        <v>3959.0687493427631</v>
      </c>
      <c r="K11" s="23">
        <f>'Resid Cust Fcst '!$K12*'Resid TSM UC Adj'!K11</f>
        <v>1776.5712506572356</v>
      </c>
      <c r="L11" s="23">
        <f>'Resid Cust Fcst '!$K12*'Resid TSM UC Adj'!L11</f>
        <v>746.36</v>
      </c>
      <c r="M11" s="45">
        <f>IF(SUM(J11:L11)=0,0,SUM(J11:L11)/'Resid Cust Fcst '!K12)</f>
        <v>3240.9999999999991</v>
      </c>
      <c r="N11" s="137">
        <f>'Resid Cust Fcst '!$L12*'Resid TSM UC Adj'!N11</f>
        <v>0</v>
      </c>
      <c r="O11" s="23">
        <f>'Resid Cust Fcst '!$L12*'Resid TSM UC Adj'!O11</f>
        <v>0</v>
      </c>
      <c r="P11" s="23">
        <f>'Resid Cust Fcst '!$L12*'Resid TSM UC Adj'!P11</f>
        <v>0</v>
      </c>
      <c r="Q11" s="45">
        <f>IF(SUM(N11:P11)=0,0,SUM(N11:P11)/'Resid Cust Fcst '!L12)</f>
        <v>0</v>
      </c>
      <c r="R11" s="137">
        <f t="shared" si="2"/>
        <v>45798.24246864899</v>
      </c>
      <c r="S11" s="23">
        <f t="shared" si="0"/>
        <v>8402.2569942079335</v>
      </c>
      <c r="T11" s="23">
        <f t="shared" si="0"/>
        <v>8379.9033800904981</v>
      </c>
      <c r="U11" s="45">
        <f>IF(SUM(R11:T11)=0,0,SUM(R11:T11)/'Resid Cust Fcst '!M12)</f>
        <v>1896.3758437256797</v>
      </c>
      <c r="V11" s="137">
        <f>'Resid Cust Fcst '!$N12*'Resid TSM UC Adj'!R11</f>
        <v>0</v>
      </c>
      <c r="W11" s="23">
        <f>'Resid Cust Fcst '!$N12*'Resid TSM UC Adj'!S11</f>
        <v>0</v>
      </c>
      <c r="X11" s="23">
        <f>'Resid Cust Fcst '!$N12*'Resid TSM UC Adj'!T11</f>
        <v>0</v>
      </c>
      <c r="Y11" s="45">
        <f>IF(SUM(V11:X11)=0,0,SUM(V11:X11)/'Resid Cust Fcst '!N12)</f>
        <v>0</v>
      </c>
      <c r="Z11" s="137">
        <f t="shared" si="3"/>
        <v>45798.24246864899</v>
      </c>
      <c r="AA11" s="23">
        <f t="shared" si="1"/>
        <v>8402.2569942079335</v>
      </c>
      <c r="AB11" s="23">
        <f t="shared" si="1"/>
        <v>8379.9033800904981</v>
      </c>
      <c r="AC11" s="45">
        <f>IF(SUM(Z11:AB11)=0,0,SUM(Z11:AB11)/'Resid Cust Fcst '!O12)</f>
        <v>1896.3758437256797</v>
      </c>
    </row>
    <row r="12" spans="1:29">
      <c r="A12" s="153" t="s">
        <v>8</v>
      </c>
      <c r="B12" s="137">
        <f>'Resid Cust Fcst '!$I13*'Resid TSM UC Adj'!B12</f>
        <v>37700.448743006404</v>
      </c>
      <c r="C12" s="23">
        <f>'Resid Cust Fcst '!$I13*'Resid TSM UC Adj'!C12</f>
        <v>13397.231983517959</v>
      </c>
      <c r="D12" s="23">
        <f>'Resid Cust Fcst '!$I13*'Resid TSM UC Adj'!D12</f>
        <v>6402.3267058823531</v>
      </c>
      <c r="E12" s="45">
        <f>IF(SUM(B12:D12)=0,0,SUM(B12:D12)/'Resid Cust Fcst '!I13)</f>
        <v>2211.5387474002582</v>
      </c>
      <c r="F12" s="137">
        <f>'Resid Cust Fcst '!$J13*'Resid TSM UC Adj'!F12</f>
        <v>5133.7457520605039</v>
      </c>
      <c r="G12" s="23">
        <f>'Resid Cust Fcst '!$J13*'Resid TSM UC Adj'!G12</f>
        <v>3469.7142479394965</v>
      </c>
      <c r="H12" s="23">
        <f>'Resid Cust Fcst '!$J13*'Resid TSM UC Adj'!H12</f>
        <v>1119.54</v>
      </c>
      <c r="I12" s="45">
        <f>IF(SUM(F12:H12)=0,0,SUM(F12:H12)/'Resid Cust Fcst '!J13)</f>
        <v>3241</v>
      </c>
      <c r="J12" s="137">
        <f>'Resid Cust Fcst '!$K13*'Resid TSM UC Adj'!J12</f>
        <v>11978.740088141176</v>
      </c>
      <c r="K12" s="23">
        <f>'Resid Cust Fcst '!$K13*'Resid TSM UC Adj'!K12</f>
        <v>8095.9999118588257</v>
      </c>
      <c r="L12" s="23">
        <f>'Resid Cust Fcst '!$K13*'Resid TSM UC Adj'!L12</f>
        <v>2612.2600000000002</v>
      </c>
      <c r="M12" s="45">
        <f>IF(SUM(J12:L12)=0,0,SUM(J12:L12)/'Resid Cust Fcst '!K13)</f>
        <v>3241</v>
      </c>
      <c r="N12" s="137">
        <f>'Resid Cust Fcst '!$L13*'Resid TSM UC Adj'!N12</f>
        <v>0</v>
      </c>
      <c r="O12" s="23">
        <f>'Resid Cust Fcst '!$L13*'Resid TSM UC Adj'!O12</f>
        <v>0</v>
      </c>
      <c r="P12" s="23">
        <f>'Resid Cust Fcst '!$L13*'Resid TSM UC Adj'!P12</f>
        <v>0</v>
      </c>
      <c r="Q12" s="45">
        <f>IF(SUM(N12:P12)=0,0,SUM(N12:P12)/'Resid Cust Fcst '!L13)</f>
        <v>0</v>
      </c>
      <c r="R12" s="137">
        <f t="shared" si="2"/>
        <v>54812.93458320808</v>
      </c>
      <c r="S12" s="23">
        <f t="shared" si="0"/>
        <v>24962.94614331628</v>
      </c>
      <c r="T12" s="23">
        <f t="shared" si="0"/>
        <v>10134.126705882354</v>
      </c>
      <c r="U12" s="45">
        <f>IF(SUM(R12:T12)=0,0,SUM(R12:T12)/'Resid Cust Fcst '!M13)</f>
        <v>2497.5002064557425</v>
      </c>
      <c r="V12" s="137">
        <f>'Resid Cust Fcst '!$N13*'Resid TSM UC Adj'!R12</f>
        <v>0</v>
      </c>
      <c r="W12" s="23">
        <f>'Resid Cust Fcst '!$N13*'Resid TSM UC Adj'!S12</f>
        <v>0</v>
      </c>
      <c r="X12" s="23">
        <f>'Resid Cust Fcst '!$N13*'Resid TSM UC Adj'!T12</f>
        <v>0</v>
      </c>
      <c r="Y12" s="45">
        <f>IF(SUM(V12:X12)=0,0,SUM(V12:X12)/'Resid Cust Fcst '!N13)</f>
        <v>0</v>
      </c>
      <c r="Z12" s="137">
        <f t="shared" si="3"/>
        <v>54812.93458320808</v>
      </c>
      <c r="AA12" s="23">
        <f t="shared" si="1"/>
        <v>24962.94614331628</v>
      </c>
      <c r="AB12" s="23">
        <f t="shared" si="1"/>
        <v>10134.126705882354</v>
      </c>
      <c r="AC12" s="45">
        <f>IF(SUM(Z12:AB12)=0,0,SUM(Z12:AB12)/'Resid Cust Fcst '!O13)</f>
        <v>2497.5002064557425</v>
      </c>
    </row>
    <row r="13" spans="1:29">
      <c r="A13" s="153" t="s">
        <v>9</v>
      </c>
      <c r="B13" s="137">
        <f>'Resid Cust Fcst '!$I14*'Resid TSM UC Adj'!B13</f>
        <v>6493.7489399099759</v>
      </c>
      <c r="C13" s="23">
        <f>'Resid Cust Fcst '!$I14*'Resid TSM UC Adj'!C13</f>
        <v>2490.5210555651365</v>
      </c>
      <c r="D13" s="23">
        <f>'Resid Cust Fcst '!$I14*'Resid TSM UC Adj'!D13</f>
        <v>738.73000452488691</v>
      </c>
      <c r="E13" s="45">
        <f>IF(SUM(B13:D13)=0,0,SUM(B13:D13)/'Resid Cust Fcst '!I14)</f>
        <v>3240.9999999999995</v>
      </c>
      <c r="F13" s="137">
        <f>'Resid Cust Fcst '!$J14*'Resid TSM UC Adj'!F13</f>
        <v>0</v>
      </c>
      <c r="G13" s="23">
        <f>'Resid Cust Fcst '!$J14*'Resid TSM UC Adj'!G13</f>
        <v>0</v>
      </c>
      <c r="H13" s="23">
        <f>'Resid Cust Fcst '!$J14*'Resid TSM UC Adj'!H13</f>
        <v>0</v>
      </c>
      <c r="I13" s="45">
        <f>IF(SUM(F13:H13)=0,0,SUM(F13:H13)/'Resid Cust Fcst '!J14)</f>
        <v>0</v>
      </c>
      <c r="J13" s="137">
        <f>'Resid Cust Fcst '!$K14*'Resid TSM UC Adj'!J13</f>
        <v>9777.0961905738732</v>
      </c>
      <c r="K13" s="23">
        <f>'Resid Cust Fcst '!$K14*'Resid TSM UC Adj'!K13</f>
        <v>16033.283809426124</v>
      </c>
      <c r="L13" s="23">
        <f>'Resid Cust Fcst '!$K14*'Resid TSM UC Adj'!L13</f>
        <v>3358.62</v>
      </c>
      <c r="M13" s="45">
        <f>IF(SUM(J13:L13)=0,0,SUM(J13:L13)/'Resid Cust Fcst '!K14)</f>
        <v>3240.9999999999995</v>
      </c>
      <c r="N13" s="137">
        <f>'Resid Cust Fcst '!$L14*'Resid TSM UC Adj'!N13</f>
        <v>1711.248584020168</v>
      </c>
      <c r="O13" s="23">
        <f>'Resid Cust Fcst '!$L14*'Resid TSM UC Adj'!O13</f>
        <v>1156.5714159798322</v>
      </c>
      <c r="P13" s="23">
        <f>'Resid Cust Fcst '!$L14*'Resid TSM UC Adj'!P13</f>
        <v>373.18</v>
      </c>
      <c r="Q13" s="45">
        <f>IF(SUM(N13:P13)=0,0,SUM(N13:P13)/'Resid Cust Fcst '!L14)</f>
        <v>3241</v>
      </c>
      <c r="R13" s="137">
        <f t="shared" si="2"/>
        <v>17982.093714504015</v>
      </c>
      <c r="S13" s="23">
        <f t="shared" si="0"/>
        <v>19680.376280971093</v>
      </c>
      <c r="T13" s="23">
        <f t="shared" si="0"/>
        <v>4470.5300045248869</v>
      </c>
      <c r="U13" s="45">
        <f>IF(SUM(R13:T13)=0,0,SUM(R13:T13)/'Resid Cust Fcst '!M14)</f>
        <v>3241</v>
      </c>
      <c r="V13" s="137">
        <f>'Resid Cust Fcst '!$N14*'Resid TSM UC Adj'!R13</f>
        <v>0</v>
      </c>
      <c r="W13" s="23">
        <f>'Resid Cust Fcst '!$N14*'Resid TSM UC Adj'!S13</f>
        <v>0</v>
      </c>
      <c r="X13" s="23">
        <f>'Resid Cust Fcst '!$N14*'Resid TSM UC Adj'!T13</f>
        <v>0</v>
      </c>
      <c r="Y13" s="45">
        <f>IF(SUM(V13:X13)=0,0,SUM(V13:X13)/'Resid Cust Fcst '!N14)</f>
        <v>0</v>
      </c>
      <c r="Z13" s="137">
        <f t="shared" si="3"/>
        <v>17982.093714504015</v>
      </c>
      <c r="AA13" s="23">
        <f t="shared" si="1"/>
        <v>19680.376280971093</v>
      </c>
      <c r="AB13" s="23">
        <f t="shared" si="1"/>
        <v>4470.5300045248869</v>
      </c>
      <c r="AC13" s="45">
        <f>IF(SUM(Z13:AB13)=0,0,SUM(Z13:AB13)/'Resid Cust Fcst '!O14)</f>
        <v>3241</v>
      </c>
    </row>
    <row r="14" spans="1:29">
      <c r="A14" s="153" t="s">
        <v>10</v>
      </c>
      <c r="B14" s="137">
        <f>'Resid Cust Fcst '!$I15*'Resid TSM UC Adj'!B14</f>
        <v>0</v>
      </c>
      <c r="C14" s="23">
        <f>'Resid Cust Fcst '!$I15*'Resid TSM UC Adj'!C14</f>
        <v>0</v>
      </c>
      <c r="D14" s="23">
        <f>'Resid Cust Fcst '!$I15*'Resid TSM UC Adj'!D14</f>
        <v>0</v>
      </c>
      <c r="E14" s="45">
        <f>IF(SUM(B14:D14)=0,0,SUM(B14:D14)/'Resid Cust Fcst '!I15)</f>
        <v>0</v>
      </c>
      <c r="F14" s="137">
        <f>'Resid Cust Fcst '!$J15*'Resid TSM UC Adj'!F14</f>
        <v>0</v>
      </c>
      <c r="G14" s="23">
        <f>'Resid Cust Fcst '!$J15*'Resid TSM UC Adj'!G14</f>
        <v>0</v>
      </c>
      <c r="H14" s="23">
        <f>'Resid Cust Fcst '!$J15*'Resid TSM UC Adj'!H14</f>
        <v>0</v>
      </c>
      <c r="I14" s="45">
        <f>IF(SUM(F14:H14)=0,0,SUM(F14:H14)/'Resid Cust Fcst '!J15)</f>
        <v>0</v>
      </c>
      <c r="J14" s="137">
        <f>'Resid Cust Fcst '!$K15*'Resid TSM UC Adj'!J14</f>
        <v>2172.6880423497496</v>
      </c>
      <c r="K14" s="23">
        <f>'Resid Cust Fcst '!$K15*'Resid TSM UC Adj'!K14</f>
        <v>3562.9519576502498</v>
      </c>
      <c r="L14" s="23">
        <f>'Resid Cust Fcst '!$K15*'Resid TSM UC Adj'!L14</f>
        <v>746.36</v>
      </c>
      <c r="M14" s="45">
        <f>IF(SUM(J14:L14)=0,0,SUM(J14:L14)/'Resid Cust Fcst '!K15)</f>
        <v>3240.9999999999995</v>
      </c>
      <c r="N14" s="137">
        <f>'Resid Cust Fcst '!$L15*'Resid TSM UC Adj'!N14</f>
        <v>0</v>
      </c>
      <c r="O14" s="23">
        <f>'Resid Cust Fcst '!$L15*'Resid TSM UC Adj'!O14</f>
        <v>0</v>
      </c>
      <c r="P14" s="23">
        <f>'Resid Cust Fcst '!$L15*'Resid TSM UC Adj'!P14</f>
        <v>0</v>
      </c>
      <c r="Q14" s="45">
        <f>IF(SUM(N14:P14)=0,0,SUM(N14:P14)/'Resid Cust Fcst '!L15)</f>
        <v>0</v>
      </c>
      <c r="R14" s="137">
        <f t="shared" si="2"/>
        <v>2172.6880423497496</v>
      </c>
      <c r="S14" s="23">
        <f t="shared" si="0"/>
        <v>3562.9519576502498</v>
      </c>
      <c r="T14" s="23">
        <f t="shared" si="0"/>
        <v>746.36</v>
      </c>
      <c r="U14" s="45">
        <f>IF(SUM(R14:T14)=0,0,SUM(R14:T14)/'Resid Cust Fcst '!M15)</f>
        <v>3240.9999999999995</v>
      </c>
      <c r="V14" s="137">
        <f>'Resid Cust Fcst '!$N15*'Resid TSM UC Adj'!R14</f>
        <v>0</v>
      </c>
      <c r="W14" s="23">
        <f>'Resid Cust Fcst '!$N15*'Resid TSM UC Adj'!S14</f>
        <v>0</v>
      </c>
      <c r="X14" s="23">
        <f>'Resid Cust Fcst '!$N15*'Resid TSM UC Adj'!T14</f>
        <v>0</v>
      </c>
      <c r="Y14" s="45">
        <f>IF(SUM(V14:X14)=0,0,SUM(V14:X14)/'Resid Cust Fcst '!N15)</f>
        <v>0</v>
      </c>
      <c r="Z14" s="137">
        <f t="shared" si="3"/>
        <v>2172.6880423497496</v>
      </c>
      <c r="AA14" s="23">
        <f t="shared" si="1"/>
        <v>3562.9519576502498</v>
      </c>
      <c r="AB14" s="23">
        <f t="shared" si="1"/>
        <v>746.36</v>
      </c>
      <c r="AC14" s="45">
        <f>IF(SUM(Z14:AB14)=0,0,SUM(Z14:AB14)/'Resid Cust Fcst '!O15)</f>
        <v>3240.9999999999995</v>
      </c>
    </row>
    <row r="15" spans="1:29">
      <c r="A15" s="153" t="s">
        <v>11</v>
      </c>
      <c r="B15" s="137">
        <f>'Resid Cust Fcst '!$I16*'Resid TSM UC Adj'!B15</f>
        <v>0</v>
      </c>
      <c r="C15" s="23">
        <f>'Resid Cust Fcst '!$I16*'Resid TSM UC Adj'!C15</f>
        <v>0</v>
      </c>
      <c r="D15" s="23">
        <f>'Resid Cust Fcst '!$I16*'Resid TSM UC Adj'!D15</f>
        <v>0</v>
      </c>
      <c r="E15" s="45">
        <f>IF(SUM(B15:D15)=0,0,SUM(B15:D15)/'Resid Cust Fcst '!I16)</f>
        <v>0</v>
      </c>
      <c r="F15" s="137">
        <f>'Resid Cust Fcst '!$J16*'Resid TSM UC Adj'!F15</f>
        <v>0</v>
      </c>
      <c r="G15" s="23">
        <f>'Resid Cust Fcst '!$J16*'Resid TSM UC Adj'!G15</f>
        <v>0</v>
      </c>
      <c r="H15" s="23">
        <f>'Resid Cust Fcst '!$J16*'Resid TSM UC Adj'!H15</f>
        <v>0</v>
      </c>
      <c r="I15" s="45">
        <f>IF(SUM(F15:H15)=0,0,SUM(F15:H15)/'Resid Cust Fcst '!J16)</f>
        <v>0</v>
      </c>
      <c r="J15" s="137">
        <f>'Resid Cust Fcst '!$K16*'Resid TSM UC Adj'!J15</f>
        <v>0</v>
      </c>
      <c r="K15" s="23">
        <f>'Resid Cust Fcst '!$K16*'Resid TSM UC Adj'!K15</f>
        <v>5735.6399999999994</v>
      </c>
      <c r="L15" s="23">
        <f>'Resid Cust Fcst '!$K16*'Resid TSM UC Adj'!L15</f>
        <v>746.36</v>
      </c>
      <c r="M15" s="45">
        <f>IF(SUM(J15:L15)=0,0,SUM(J15:L15)/'Resid Cust Fcst '!K16)</f>
        <v>3240.9999999999995</v>
      </c>
      <c r="N15" s="137">
        <f>'Resid Cust Fcst '!$L16*'Resid TSM UC Adj'!N15</f>
        <v>0</v>
      </c>
      <c r="O15" s="23">
        <f>'Resid Cust Fcst '!$L16*'Resid TSM UC Adj'!O15</f>
        <v>0</v>
      </c>
      <c r="P15" s="23">
        <f>'Resid Cust Fcst '!$L16*'Resid TSM UC Adj'!P15</f>
        <v>0</v>
      </c>
      <c r="Q15" s="45">
        <f>IF(SUM(N15:P15)=0,0,SUM(N15:P15)/'Resid Cust Fcst '!L16)</f>
        <v>0</v>
      </c>
      <c r="R15" s="137">
        <f t="shared" si="2"/>
        <v>0</v>
      </c>
      <c r="S15" s="23">
        <f t="shared" si="0"/>
        <v>5735.6399999999994</v>
      </c>
      <c r="T15" s="23">
        <f t="shared" si="0"/>
        <v>746.36</v>
      </c>
      <c r="U15" s="45">
        <f>IF(SUM(R15:T15)=0,0,SUM(R15:T15)/'Resid Cust Fcst '!M16)</f>
        <v>3240.9999999999995</v>
      </c>
      <c r="V15" s="137">
        <f>'Resid Cust Fcst '!$N16*'Resid TSM UC Adj'!R15</f>
        <v>0</v>
      </c>
      <c r="W15" s="23">
        <f>'Resid Cust Fcst '!$N16*'Resid TSM UC Adj'!S15</f>
        <v>0</v>
      </c>
      <c r="X15" s="23">
        <f>'Resid Cust Fcst '!$N16*'Resid TSM UC Adj'!T15</f>
        <v>0</v>
      </c>
      <c r="Y15" s="45">
        <f>IF(SUM(V15:X15)=0,0,SUM(V15:X15)/'Resid Cust Fcst '!N16)</f>
        <v>0</v>
      </c>
      <c r="Z15" s="137">
        <f t="shared" si="3"/>
        <v>0</v>
      </c>
      <c r="AA15" s="23">
        <f t="shared" si="1"/>
        <v>5735.6399999999994</v>
      </c>
      <c r="AB15" s="23">
        <f t="shared" si="1"/>
        <v>746.36</v>
      </c>
      <c r="AC15" s="45">
        <f>IF(SUM(Z15:AB15)=0,0,SUM(Z15:AB15)/'Resid Cust Fcst '!O16)</f>
        <v>3240.9999999999995</v>
      </c>
    </row>
    <row r="16" spans="1:29">
      <c r="A16" s="153" t="s">
        <v>120</v>
      </c>
      <c r="B16" s="137">
        <f>'Resid Cust Fcst '!$I17*'Resid TSM UC Adj'!B16</f>
        <v>0</v>
      </c>
      <c r="C16" s="23">
        <f>'Resid Cust Fcst '!$I17*'Resid TSM UC Adj'!C16</f>
        <v>0</v>
      </c>
      <c r="D16" s="23">
        <f>'Resid Cust Fcst '!$I17*'Resid TSM UC Adj'!D16</f>
        <v>0</v>
      </c>
      <c r="E16" s="45">
        <f>IF(SUM(B16:D16)=0,0,SUM(B16:D16)/'Resid Cust Fcst '!I17)</f>
        <v>0</v>
      </c>
      <c r="F16" s="137">
        <f>'Resid Cust Fcst '!$J17*'Resid TSM UC Adj'!F16</f>
        <v>0</v>
      </c>
      <c r="G16" s="23">
        <f>'Resid Cust Fcst '!$J17*'Resid TSM UC Adj'!G16</f>
        <v>0</v>
      </c>
      <c r="H16" s="23">
        <f>'Resid Cust Fcst '!$J17*'Resid TSM UC Adj'!H16</f>
        <v>0</v>
      </c>
      <c r="I16" s="45">
        <f>IF(SUM(F16:H16)=0,0,SUM(F16:H16)/'Resid Cust Fcst '!J17)</f>
        <v>0</v>
      </c>
      <c r="J16" s="137">
        <f>'Resid Cust Fcst '!$K17*'Resid TSM UC Adj'!J16</f>
        <v>0</v>
      </c>
      <c r="K16" s="23">
        <f>'Resid Cust Fcst '!$K17*'Resid TSM UC Adj'!K16</f>
        <v>2867.8199999999988</v>
      </c>
      <c r="L16" s="23">
        <f>'Resid Cust Fcst '!$K17*'Resid TSM UC Adj'!L16</f>
        <v>373.18</v>
      </c>
      <c r="M16" s="45">
        <f>IF(SUM(J16:L16)=0,0,SUM(J16:L16)/'Resid Cust Fcst '!K17)</f>
        <v>3240.9999999999986</v>
      </c>
      <c r="N16" s="137">
        <f>'Resid Cust Fcst '!$L17*'Resid TSM UC Adj'!N16</f>
        <v>0</v>
      </c>
      <c r="O16" s="23">
        <f>'Resid Cust Fcst '!$L17*'Resid TSM UC Adj'!O16</f>
        <v>0</v>
      </c>
      <c r="P16" s="23">
        <f>'Resid Cust Fcst '!$L17*'Resid TSM UC Adj'!P16</f>
        <v>0</v>
      </c>
      <c r="Q16" s="45">
        <f>IF(SUM(N16:P16)=0,0,SUM(N16:P16)/'Resid Cust Fcst '!L17)</f>
        <v>0</v>
      </c>
      <c r="R16" s="137">
        <f t="shared" si="2"/>
        <v>0</v>
      </c>
      <c r="S16" s="23">
        <f t="shared" si="0"/>
        <v>2867.8199999999988</v>
      </c>
      <c r="T16" s="23">
        <f t="shared" si="0"/>
        <v>373.18</v>
      </c>
      <c r="U16" s="45">
        <f>IF(SUM(R16:T16)=0,0,SUM(R16:T16)/'Resid Cust Fcst '!M17)</f>
        <v>3240.9999999999986</v>
      </c>
      <c r="V16" s="137">
        <f>'Resid Cust Fcst '!$N17*'Resid TSM UC Adj'!R16</f>
        <v>0</v>
      </c>
      <c r="W16" s="23">
        <f>'Resid Cust Fcst '!$N17*'Resid TSM UC Adj'!S16</f>
        <v>2227.96</v>
      </c>
      <c r="X16" s="23">
        <f>'Resid Cust Fcst '!$N17*'Resid TSM UC Adj'!T16</f>
        <v>1013.04</v>
      </c>
      <c r="Y16" s="45">
        <f>IF(SUM(V16:X16)=0,0,SUM(V16:X16)/'Resid Cust Fcst '!N17)</f>
        <v>3241</v>
      </c>
      <c r="Z16" s="137">
        <f t="shared" si="3"/>
        <v>0</v>
      </c>
      <c r="AA16" s="23">
        <f t="shared" si="1"/>
        <v>5095.7799999999988</v>
      </c>
      <c r="AB16" s="23">
        <f t="shared" si="1"/>
        <v>1386.22</v>
      </c>
      <c r="AC16" s="45">
        <f>IF(SUM(Z16:AB16)=0,0,SUM(Z16:AB16)/'Resid Cust Fcst '!O17)</f>
        <v>3240.9999999999995</v>
      </c>
    </row>
    <row r="17" spans="1:29">
      <c r="A17" s="153" t="s">
        <v>121</v>
      </c>
      <c r="B17" s="137">
        <f>'Resid Cust Fcst '!$I18*'Resid TSM UC Adj'!J17</f>
        <v>0</v>
      </c>
      <c r="C17" s="23">
        <f>'Resid Cust Fcst '!$I18*'Resid TSM UC Adj'!K17</f>
        <v>0</v>
      </c>
      <c r="D17" s="23">
        <f>'Resid Cust Fcst '!$I18*'Resid TSM UC Adj'!L17</f>
        <v>0</v>
      </c>
      <c r="E17" s="45">
        <f>IF(SUM(B17:D17)=0,0,SUM(B17:D17)/'Resid Cust Fcst '!I18)</f>
        <v>0</v>
      </c>
      <c r="F17" s="137">
        <f>'Resid Cust Fcst '!$J18*'Resid TSM UC Adj'!F17</f>
        <v>0</v>
      </c>
      <c r="G17" s="23">
        <f>'Resid Cust Fcst '!$J18*'Resid TSM UC Adj'!G17</f>
        <v>0</v>
      </c>
      <c r="H17" s="23">
        <f>'Resid Cust Fcst '!$J18*'Resid TSM UC Adj'!H17</f>
        <v>0</v>
      </c>
      <c r="I17" s="45">
        <f>IF(SUM(F17:H17)=0,0,SUM(F17:H17)/'Resid Cust Fcst '!J18)</f>
        <v>0</v>
      </c>
      <c r="J17" s="137">
        <f>'Resid Cust Fcst '!$K18*'Resid TSM UC Adj'!J17</f>
        <v>0</v>
      </c>
      <c r="K17" s="23">
        <f>'Resid Cust Fcst '!$K18*'Resid TSM UC Adj'!K17</f>
        <v>0</v>
      </c>
      <c r="L17" s="23">
        <f>'Resid Cust Fcst '!$K18*'Resid TSM UC Adj'!L17</f>
        <v>0</v>
      </c>
      <c r="M17" s="45">
        <f>IF(SUM(J17:L17)=0,0,SUM(J17:L17)/'Resid Cust Fcst '!K18)</f>
        <v>0</v>
      </c>
      <c r="N17" s="137">
        <f>'Resid Cust Fcst '!$L18*'Resid TSM UC Adj'!N17</f>
        <v>0</v>
      </c>
      <c r="O17" s="23">
        <f>'Resid Cust Fcst '!$L18*'Resid TSM UC Adj'!O17</f>
        <v>0</v>
      </c>
      <c r="P17" s="23">
        <f>'Resid Cust Fcst '!$L18*'Resid TSM UC Adj'!P17</f>
        <v>0</v>
      </c>
      <c r="Q17" s="45">
        <f>IF(SUM(N17:P17)=0,0,SUM(N17:P17)/'Resid Cust Fcst '!L18)</f>
        <v>0</v>
      </c>
      <c r="R17" s="137">
        <f t="shared" si="2"/>
        <v>0</v>
      </c>
      <c r="S17" s="23">
        <f t="shared" si="0"/>
        <v>0</v>
      </c>
      <c r="T17" s="23">
        <f t="shared" si="0"/>
        <v>0</v>
      </c>
      <c r="U17" s="45">
        <f>IF(SUM(R17:T17)=0,0,SUM(R17:T17)/'Resid Cust Fcst '!M18)</f>
        <v>0</v>
      </c>
      <c r="V17" s="137">
        <f>'Resid Cust Fcst '!$N18*'Resid TSM UC Adj'!R17</f>
        <v>0</v>
      </c>
      <c r="W17" s="23">
        <f>'Resid Cust Fcst '!$N18*'Resid TSM UC Adj'!S17</f>
        <v>0</v>
      </c>
      <c r="X17" s="23">
        <f>'Resid Cust Fcst '!$N18*'Resid TSM UC Adj'!T17</f>
        <v>0</v>
      </c>
      <c r="Y17" s="45">
        <f>IF(SUM(V17:X17)=0,0,SUM(V17:X17)/'Resid Cust Fcst '!N18)</f>
        <v>0</v>
      </c>
      <c r="Z17" s="137">
        <f t="shared" si="3"/>
        <v>0</v>
      </c>
      <c r="AA17" s="23">
        <f t="shared" si="1"/>
        <v>0</v>
      </c>
      <c r="AB17" s="23">
        <f t="shared" si="1"/>
        <v>0</v>
      </c>
      <c r="AC17" s="45">
        <f>IF(SUM(Z17:AB17)=0,0,SUM(Z17:AB17)/'Resid Cust Fcst '!O18)</f>
        <v>0</v>
      </c>
    </row>
    <row r="18" spans="1:29">
      <c r="A18" s="153" t="s">
        <v>12</v>
      </c>
      <c r="B18" s="137">
        <f>'Resid Cust Fcst '!$I19*'Resid TSM UC Adj'!J18</f>
        <v>0</v>
      </c>
      <c r="C18" s="23">
        <f>'Resid Cust Fcst '!$I19*'Resid TSM UC Adj'!K18</f>
        <v>0</v>
      </c>
      <c r="D18" s="23">
        <f>'Resid Cust Fcst '!$I19*'Resid TSM UC Adj'!L18</f>
        <v>0</v>
      </c>
      <c r="E18" s="45">
        <f>IF(SUM(B18:D18)=0,0,SUM(B18:D18)/'Resid Cust Fcst '!I19)</f>
        <v>0</v>
      </c>
      <c r="F18" s="137">
        <f>'Resid Cust Fcst '!$J19*'Resid TSM UC Adj'!J18</f>
        <v>0</v>
      </c>
      <c r="G18" s="23">
        <f>'Resid Cust Fcst '!$J19*'Resid TSM UC Adj'!K18</f>
        <v>0</v>
      </c>
      <c r="H18" s="23">
        <f>'Resid Cust Fcst '!$J19*'Resid TSM UC Adj'!L18</f>
        <v>0</v>
      </c>
      <c r="I18" s="45">
        <f>IF(SUM(F18:H18)=0,0,SUM(F18:H18)/'Resid Cust Fcst '!J19)</f>
        <v>0</v>
      </c>
      <c r="J18" s="137">
        <f>'Resid Cust Fcst '!$K19*'Resid TSM UC Adj'!J18</f>
        <v>0</v>
      </c>
      <c r="K18" s="23">
        <f>'Resid Cust Fcst '!$K19*'Resid TSM UC Adj'!K18</f>
        <v>0</v>
      </c>
      <c r="L18" s="23">
        <f>'Resid Cust Fcst '!$K19*'Resid TSM UC Adj'!L18</f>
        <v>0</v>
      </c>
      <c r="M18" s="45">
        <f>IF(SUM(J18:L18)=0,0,SUM(J18:L18)/'Resid Cust Fcst '!K19)</f>
        <v>0</v>
      </c>
      <c r="N18" s="137">
        <f>'Resid Cust Fcst '!$L19*'Resid TSM UC Adj'!N18</f>
        <v>0</v>
      </c>
      <c r="O18" s="23">
        <f>'Resid Cust Fcst '!$L19*'Resid TSM UC Adj'!O18</f>
        <v>0</v>
      </c>
      <c r="P18" s="23">
        <f>'Resid Cust Fcst '!$L19*'Resid TSM UC Adj'!P18</f>
        <v>0</v>
      </c>
      <c r="Q18" s="45">
        <f>IF(SUM(N18:P18)=0,0,SUM(N18:P18)/'Resid Cust Fcst '!L19)</f>
        <v>0</v>
      </c>
      <c r="R18" s="137">
        <f t="shared" si="2"/>
        <v>0</v>
      </c>
      <c r="S18" s="23">
        <f t="shared" si="0"/>
        <v>0</v>
      </c>
      <c r="T18" s="23">
        <f t="shared" si="0"/>
        <v>0</v>
      </c>
      <c r="U18" s="45">
        <f>IF(SUM(R18:T18)=0,0,SUM(R18:T18)/'Resid Cust Fcst '!M19)</f>
        <v>0</v>
      </c>
      <c r="V18" s="137">
        <f>'Resid Cust Fcst '!$N19*'Resid TSM UC Adj'!R18</f>
        <v>0</v>
      </c>
      <c r="W18" s="23">
        <f>'Resid Cust Fcst '!$N19*'Resid TSM UC Adj'!S18</f>
        <v>0</v>
      </c>
      <c r="X18" s="23">
        <f>'Resid Cust Fcst '!$N19*'Resid TSM UC Adj'!T18</f>
        <v>0</v>
      </c>
      <c r="Y18" s="45">
        <f>IF(SUM(V18:X18)=0,0,SUM(V18:X18)/'Resid Cust Fcst '!N19)</f>
        <v>0</v>
      </c>
      <c r="Z18" s="137">
        <f t="shared" si="3"/>
        <v>0</v>
      </c>
      <c r="AA18" s="23">
        <f t="shared" si="1"/>
        <v>0</v>
      </c>
      <c r="AB18" s="23">
        <f t="shared" si="1"/>
        <v>0</v>
      </c>
      <c r="AC18" s="45">
        <f>IF(SUM(Z18:AB18)=0,0,SUM(Z18:AB18)/'Resid Cust Fcst '!O19)</f>
        <v>0</v>
      </c>
    </row>
    <row r="19" spans="1:29" s="58" customFormat="1">
      <c r="A19" s="134" t="s">
        <v>13</v>
      </c>
      <c r="B19" s="137">
        <f>'Resid Cust Fcst '!$I20*'Resid TSM UC Adj'!J19</f>
        <v>0</v>
      </c>
      <c r="C19" s="23">
        <f>'Resid Cust Fcst '!$I20*'Resid TSM UC Adj'!K19</f>
        <v>0</v>
      </c>
      <c r="D19" s="23">
        <f>'Resid Cust Fcst '!$I20*'Resid TSM UC Adj'!L19</f>
        <v>0</v>
      </c>
      <c r="E19" s="45">
        <f>IF(SUM(B19:D19)=0,0,SUM(B19:D19)/'Resid Cust Fcst '!I20)</f>
        <v>0</v>
      </c>
      <c r="F19" s="137">
        <f>'Resid Cust Fcst '!$J20*'Resid TSM UC Adj'!J19</f>
        <v>0</v>
      </c>
      <c r="G19" s="23">
        <f>'Resid Cust Fcst '!$J20*'Resid TSM UC Adj'!K19</f>
        <v>0</v>
      </c>
      <c r="H19" s="23">
        <f>'Resid Cust Fcst '!$J20*'Resid TSM UC Adj'!L19</f>
        <v>0</v>
      </c>
      <c r="I19" s="45">
        <f>IF(SUM(F19:H19)=0,0,SUM(F19:H19)/'Resid Cust Fcst '!J20)</f>
        <v>0</v>
      </c>
      <c r="J19" s="137">
        <f>'Resid Cust Fcst '!$K20*'Resid TSM UC Adj'!J19</f>
        <v>0</v>
      </c>
      <c r="K19" s="23">
        <f>'Resid Cust Fcst '!$K20*'Resid TSM UC Adj'!K19</f>
        <v>0</v>
      </c>
      <c r="L19" s="23">
        <f>'Resid Cust Fcst '!$K20*'Resid TSM UC Adj'!L19</f>
        <v>0</v>
      </c>
      <c r="M19" s="45">
        <f>IF(SUM(J19:L19)=0,0,SUM(J19:L19)/'Resid Cust Fcst '!K20)</f>
        <v>0</v>
      </c>
      <c r="N19" s="137">
        <f>'Resid Cust Fcst '!$L20*'Resid TSM UC Adj'!N19</f>
        <v>0</v>
      </c>
      <c r="O19" s="23">
        <f>'Resid Cust Fcst '!$L20*'Resid TSM UC Adj'!O19</f>
        <v>0</v>
      </c>
      <c r="P19" s="23">
        <f>'Resid Cust Fcst '!$L20*'Resid TSM UC Adj'!P19</f>
        <v>0</v>
      </c>
      <c r="Q19" s="45">
        <f>IF(SUM(N19:P19)=0,0,SUM(N19:P19)/'Resid Cust Fcst '!L20)</f>
        <v>0</v>
      </c>
      <c r="R19" s="137">
        <f t="shared" si="2"/>
        <v>0</v>
      </c>
      <c r="S19" s="23">
        <f t="shared" si="0"/>
        <v>0</v>
      </c>
      <c r="T19" s="23">
        <f t="shared" si="0"/>
        <v>0</v>
      </c>
      <c r="U19" s="45">
        <f>IF(SUM(R19:T19)=0,0,SUM(R19:T19)/'Resid Cust Fcst '!M20)</f>
        <v>0</v>
      </c>
      <c r="V19" s="137">
        <f>'Resid Cust Fcst '!$N20*'Resid TSM UC Adj'!R19</f>
        <v>0</v>
      </c>
      <c r="W19" s="23">
        <f>'Resid Cust Fcst '!$N20*'Resid TSM UC Adj'!S19</f>
        <v>0</v>
      </c>
      <c r="X19" s="23">
        <f>'Resid Cust Fcst '!$N20*'Resid TSM UC Adj'!T19</f>
        <v>0</v>
      </c>
      <c r="Y19" s="45">
        <f>IF(SUM(V19:X19)=0,0,SUM(V19:X19)/'Resid Cust Fcst '!N20)</f>
        <v>0</v>
      </c>
      <c r="Z19" s="137">
        <f t="shared" si="3"/>
        <v>0</v>
      </c>
      <c r="AA19" s="23">
        <f t="shared" si="1"/>
        <v>0</v>
      </c>
      <c r="AB19" s="23">
        <f t="shared" si="1"/>
        <v>0</v>
      </c>
      <c r="AC19" s="45">
        <f>IF(SUM(Z19:AB19)=0,0,SUM(Z19:AB19)/'Resid Cust Fcst '!O20)</f>
        <v>0</v>
      </c>
    </row>
    <row r="20" spans="1:29">
      <c r="A20" s="153" t="s">
        <v>122</v>
      </c>
      <c r="B20" s="137">
        <f>'Resid Cust Fcst '!$I21*'Resid TSM UC Adj'!J20</f>
        <v>0</v>
      </c>
      <c r="C20" s="23">
        <f>'Resid Cust Fcst '!$I21*'Resid TSM UC Adj'!K20</f>
        <v>0</v>
      </c>
      <c r="D20" s="23">
        <f>'Resid Cust Fcst '!$I21*'Resid TSM UC Adj'!L20</f>
        <v>0</v>
      </c>
      <c r="E20" s="45">
        <f>IF(SUM(B20:D20)=0,0,SUM(B20:D20)/'Resid Cust Fcst '!I21)</f>
        <v>0</v>
      </c>
      <c r="F20" s="137">
        <f>'Resid Cust Fcst '!$J21*'Resid TSM UC Adj'!J20</f>
        <v>0</v>
      </c>
      <c r="G20" s="23">
        <f>'Resid Cust Fcst '!$J21*'Resid TSM UC Adj'!K20</f>
        <v>0</v>
      </c>
      <c r="H20" s="23">
        <f>'Resid Cust Fcst '!$J21*'Resid TSM UC Adj'!L20</f>
        <v>0</v>
      </c>
      <c r="I20" s="45">
        <f>IF(SUM(F20:H20)=0,0,SUM(F20:H20)/'Resid Cust Fcst '!J21)</f>
        <v>0</v>
      </c>
      <c r="J20" s="137">
        <f>'Resid Cust Fcst '!$K21*'Resid TSM UC Adj'!J20</f>
        <v>0</v>
      </c>
      <c r="K20" s="23">
        <f>'Resid Cust Fcst '!$K21*'Resid TSM UC Adj'!K20</f>
        <v>0</v>
      </c>
      <c r="L20" s="23">
        <f>'Resid Cust Fcst '!$K21*'Resid TSM UC Adj'!L20</f>
        <v>0</v>
      </c>
      <c r="M20" s="45">
        <f>IF(SUM(J20:L20)=0,0,SUM(J20:L20)/'Resid Cust Fcst '!K21)</f>
        <v>0</v>
      </c>
      <c r="N20" s="137">
        <f>'Resid Cust Fcst '!$L21*'Resid TSM UC Adj'!N20</f>
        <v>0</v>
      </c>
      <c r="O20" s="23">
        <f>'Resid Cust Fcst '!$L21*'Resid TSM UC Adj'!O20</f>
        <v>0</v>
      </c>
      <c r="P20" s="23">
        <f>'Resid Cust Fcst '!$L21*'Resid TSM UC Adj'!P20</f>
        <v>0</v>
      </c>
      <c r="Q20" s="45">
        <f>IF(SUM(N20:P20)=0,0,SUM(N20:P20)/'Resid Cust Fcst '!L21)</f>
        <v>0</v>
      </c>
      <c r="R20" s="137">
        <f t="shared" si="2"/>
        <v>0</v>
      </c>
      <c r="S20" s="23">
        <f t="shared" si="0"/>
        <v>0</v>
      </c>
      <c r="T20" s="23">
        <f t="shared" si="0"/>
        <v>0</v>
      </c>
      <c r="U20" s="45">
        <f>IF(SUM(R20:T20)=0,0,SUM(R20:T20)/'Resid Cust Fcst '!M21)</f>
        <v>0</v>
      </c>
      <c r="V20" s="137">
        <f>'Resid Cust Fcst '!$N21*'Resid TSM UC Adj'!R20</f>
        <v>0</v>
      </c>
      <c r="W20" s="23">
        <f>'Resid Cust Fcst '!$N21*'Resid TSM UC Adj'!S20</f>
        <v>0</v>
      </c>
      <c r="X20" s="23">
        <f>'Resid Cust Fcst '!$N21*'Resid TSM UC Adj'!T20</f>
        <v>0</v>
      </c>
      <c r="Y20" s="45">
        <f>IF(SUM(V20:X20)=0,0,SUM(V20:X20)/'Resid Cust Fcst '!N21)</f>
        <v>0</v>
      </c>
      <c r="Z20" s="137">
        <f t="shared" si="3"/>
        <v>0</v>
      </c>
      <c r="AA20" s="23">
        <f t="shared" si="1"/>
        <v>0</v>
      </c>
      <c r="AB20" s="23">
        <f t="shared" si="1"/>
        <v>0</v>
      </c>
      <c r="AC20" s="45">
        <f>IF(SUM(Z20:AB20)=0,0,SUM(Z20:AB20)/'Resid Cust Fcst '!O21)</f>
        <v>0</v>
      </c>
    </row>
    <row r="21" spans="1:29">
      <c r="A21" s="153" t="s">
        <v>123</v>
      </c>
      <c r="B21" s="137">
        <f>'Resid Cust Fcst '!$I22*'Resid TSM UC Adj'!J21</f>
        <v>0</v>
      </c>
      <c r="C21" s="23">
        <f>'Resid Cust Fcst '!$I22*'Resid TSM UC Adj'!K21</f>
        <v>0</v>
      </c>
      <c r="D21" s="23">
        <f>'Resid Cust Fcst '!$I22*'Resid TSM UC Adj'!L21</f>
        <v>0</v>
      </c>
      <c r="E21" s="45">
        <f>IF(SUM(B21:D21)=0,0,SUM(B21:D21)/'Resid Cust Fcst '!I22)</f>
        <v>0</v>
      </c>
      <c r="F21" s="137">
        <f>'Resid Cust Fcst '!$J22*'Resid TSM UC Adj'!J21</f>
        <v>0</v>
      </c>
      <c r="G21" s="23">
        <f>'Resid Cust Fcst '!$J22*'Resid TSM UC Adj'!K21</f>
        <v>0</v>
      </c>
      <c r="H21" s="23">
        <f>'Resid Cust Fcst '!$J22*'Resid TSM UC Adj'!L21</f>
        <v>0</v>
      </c>
      <c r="I21" s="45">
        <f>IF(SUM(F21:H21)=0,0,SUM(F21:H21)/'Resid Cust Fcst '!J22)</f>
        <v>0</v>
      </c>
      <c r="J21" s="137">
        <f>'Resid Cust Fcst '!$K22*'Resid TSM UC Adj'!J21</f>
        <v>0</v>
      </c>
      <c r="K21" s="23">
        <f>'Resid Cust Fcst '!$K22*'Resid TSM UC Adj'!K21</f>
        <v>0</v>
      </c>
      <c r="L21" s="23">
        <f>'Resid Cust Fcst '!$K22*'Resid TSM UC Adj'!L21</f>
        <v>0</v>
      </c>
      <c r="M21" s="45">
        <f>IF(SUM(J21:L21)=0,0,SUM(J21:L21)/'Resid Cust Fcst '!K22)</f>
        <v>0</v>
      </c>
      <c r="N21" s="137">
        <f>'Resid Cust Fcst '!$L22*'Resid TSM UC Adj'!N21</f>
        <v>0</v>
      </c>
      <c r="O21" s="23">
        <f>'Resid Cust Fcst '!$L22*'Resid TSM UC Adj'!O21</f>
        <v>0</v>
      </c>
      <c r="P21" s="23">
        <f>'Resid Cust Fcst '!$L22*'Resid TSM UC Adj'!P21</f>
        <v>0</v>
      </c>
      <c r="Q21" s="45">
        <f>IF(SUM(N21:P21)=0,0,SUM(N21:P21)/'Resid Cust Fcst '!L22)</f>
        <v>0</v>
      </c>
      <c r="R21" s="137">
        <f t="shared" si="2"/>
        <v>0</v>
      </c>
      <c r="S21" s="23">
        <f t="shared" si="0"/>
        <v>0</v>
      </c>
      <c r="T21" s="23">
        <f t="shared" si="0"/>
        <v>0</v>
      </c>
      <c r="U21" s="45">
        <f>IF(SUM(R21:T21)=0,0,SUM(R21:T21)/'Resid Cust Fcst '!M22)</f>
        <v>0</v>
      </c>
      <c r="V21" s="137">
        <f>'Resid Cust Fcst '!$N22*'Resid TSM UC Adj'!R21</f>
        <v>0</v>
      </c>
      <c r="W21" s="23">
        <f>'Resid Cust Fcst '!$N22*'Resid TSM UC Adj'!S21</f>
        <v>0</v>
      </c>
      <c r="X21" s="23">
        <f>'Resid Cust Fcst '!$N22*'Resid TSM UC Adj'!T21</f>
        <v>0</v>
      </c>
      <c r="Y21" s="45">
        <f>IF(SUM(V21:X21)=0,0,SUM(V21:X21)/'Resid Cust Fcst '!N22)</f>
        <v>0</v>
      </c>
      <c r="Z21" s="137">
        <f t="shared" si="3"/>
        <v>0</v>
      </c>
      <c r="AA21" s="23">
        <f t="shared" si="1"/>
        <v>0</v>
      </c>
      <c r="AB21" s="23">
        <f t="shared" si="1"/>
        <v>0</v>
      </c>
      <c r="AC21" s="45">
        <f>IF(SUM(Z21:AB21)=0,0,SUM(Z21:AB21)/'Resid Cust Fcst '!O22)</f>
        <v>0</v>
      </c>
    </row>
    <row r="22" spans="1:29">
      <c r="A22" s="153" t="s">
        <v>14</v>
      </c>
      <c r="B22" s="137">
        <f>'Resid Cust Fcst '!$I23*'Resid TSM UC Adj'!J22</f>
        <v>0</v>
      </c>
      <c r="C22" s="23">
        <f>'Resid Cust Fcst '!$I23*'Resid TSM UC Adj'!K22</f>
        <v>0</v>
      </c>
      <c r="D22" s="23">
        <f>'Resid Cust Fcst '!$I23*'Resid TSM UC Adj'!L22</f>
        <v>0</v>
      </c>
      <c r="E22" s="45">
        <f>IF(SUM(B22:D22)=0,0,SUM(B22:D22)/'Resid Cust Fcst '!I23)</f>
        <v>0</v>
      </c>
      <c r="F22" s="137">
        <f>'Resid Cust Fcst '!$J23*'Resid TSM UC Adj'!J22</f>
        <v>0</v>
      </c>
      <c r="G22" s="23">
        <f>'Resid Cust Fcst '!$J23*'Resid TSM UC Adj'!K22</f>
        <v>0</v>
      </c>
      <c r="H22" s="23">
        <f>'Resid Cust Fcst '!$J23*'Resid TSM UC Adj'!L22</f>
        <v>0</v>
      </c>
      <c r="I22" s="45">
        <f>IF(SUM(F22:H22)=0,0,SUM(F22:H22)/'Resid Cust Fcst '!J23)</f>
        <v>0</v>
      </c>
      <c r="J22" s="137">
        <f>'Resid Cust Fcst '!$K23*'Resid TSM UC Adj'!J22</f>
        <v>0</v>
      </c>
      <c r="K22" s="23">
        <f>'Resid Cust Fcst '!$K23*'Resid TSM UC Adj'!K22</f>
        <v>0</v>
      </c>
      <c r="L22" s="23">
        <f>'Resid Cust Fcst '!$K23*'Resid TSM UC Adj'!L22</f>
        <v>0</v>
      </c>
      <c r="M22" s="45">
        <f>IF(SUM(J22:L22)=0,0,SUM(J22:L22)/'Resid Cust Fcst '!K23)</f>
        <v>0</v>
      </c>
      <c r="N22" s="137">
        <f>'Resid Cust Fcst '!$L23*'Resid TSM UC Adj'!N22</f>
        <v>0</v>
      </c>
      <c r="O22" s="23">
        <f>'Resid Cust Fcst '!$L23*'Resid TSM UC Adj'!O22</f>
        <v>0</v>
      </c>
      <c r="P22" s="23">
        <f>'Resid Cust Fcst '!$L23*'Resid TSM UC Adj'!P22</f>
        <v>0</v>
      </c>
      <c r="Q22" s="45">
        <f>IF(SUM(N22:P22)=0,0,SUM(N22:P22)/'Resid Cust Fcst '!L23)</f>
        <v>0</v>
      </c>
      <c r="R22" s="137">
        <f t="shared" si="2"/>
        <v>0</v>
      </c>
      <c r="S22" s="23">
        <f t="shared" si="0"/>
        <v>0</v>
      </c>
      <c r="T22" s="23">
        <f t="shared" si="0"/>
        <v>0</v>
      </c>
      <c r="U22" s="45">
        <f>IF(SUM(R22:T22)=0,0,SUM(R22:T22)/'Resid Cust Fcst '!M23)</f>
        <v>0</v>
      </c>
      <c r="V22" s="137">
        <f>'Resid Cust Fcst '!$N23*'Resid TSM UC Adj'!R22</f>
        <v>0</v>
      </c>
      <c r="W22" s="23">
        <f>'Resid Cust Fcst '!$N23*'Resid TSM UC Adj'!S22</f>
        <v>0</v>
      </c>
      <c r="X22" s="23">
        <f>'Resid Cust Fcst '!$N23*'Resid TSM UC Adj'!T22</f>
        <v>0</v>
      </c>
      <c r="Y22" s="45">
        <f>IF(SUM(V22:X22)=0,0,SUM(V22:X22)/'Resid Cust Fcst '!N23)</f>
        <v>0</v>
      </c>
      <c r="Z22" s="137">
        <f t="shared" si="3"/>
        <v>0</v>
      </c>
      <c r="AA22" s="23">
        <f t="shared" si="1"/>
        <v>0</v>
      </c>
      <c r="AB22" s="23">
        <f t="shared" si="1"/>
        <v>0</v>
      </c>
      <c r="AC22" s="45">
        <f>IF(SUM(Z22:AB22)=0,0,SUM(Z22:AB22)/'Resid Cust Fcst '!O23)</f>
        <v>0</v>
      </c>
    </row>
    <row r="23" spans="1:29">
      <c r="A23" s="153" t="s">
        <v>15</v>
      </c>
      <c r="B23" s="137">
        <f>'Resid Cust Fcst '!$I24*'Resid TSM UC Adj'!J23</f>
        <v>0</v>
      </c>
      <c r="C23" s="23">
        <f>'Resid Cust Fcst '!$I24*'Resid TSM UC Adj'!K23</f>
        <v>0</v>
      </c>
      <c r="D23" s="23">
        <f>'Resid Cust Fcst '!$I24*'Resid TSM UC Adj'!L23</f>
        <v>0</v>
      </c>
      <c r="E23" s="45">
        <f>IF(SUM(B23:D23)=0,0,SUM(B23:D23)/'Resid Cust Fcst '!I24)</f>
        <v>0</v>
      </c>
      <c r="F23" s="137">
        <f>'Resid Cust Fcst '!$J24*'Resid TSM UC Adj'!J23</f>
        <v>0</v>
      </c>
      <c r="G23" s="23">
        <f>'Resid Cust Fcst '!$J24*'Resid TSM UC Adj'!K23</f>
        <v>0</v>
      </c>
      <c r="H23" s="23">
        <f>'Resid Cust Fcst '!$J24*'Resid TSM UC Adj'!L23</f>
        <v>0</v>
      </c>
      <c r="I23" s="45">
        <f>IF(SUM(F23:H23)=0,0,SUM(F23:H23)/'Resid Cust Fcst '!J24)</f>
        <v>0</v>
      </c>
      <c r="J23" s="137">
        <f>'Resid Cust Fcst '!$K24*'Resid TSM UC Adj'!J23</f>
        <v>0</v>
      </c>
      <c r="K23" s="23">
        <f>'Resid Cust Fcst '!$K24*'Resid TSM UC Adj'!K23</f>
        <v>0</v>
      </c>
      <c r="L23" s="23">
        <f>'Resid Cust Fcst '!$K24*'Resid TSM UC Adj'!L23</f>
        <v>0</v>
      </c>
      <c r="M23" s="45">
        <f>IF(SUM(J23:L23)=0,0,SUM(J23:L23)/'Resid Cust Fcst '!K24)</f>
        <v>0</v>
      </c>
      <c r="N23" s="137">
        <f>'Resid Cust Fcst '!$L24*'Resid TSM UC Adj'!N23</f>
        <v>0</v>
      </c>
      <c r="O23" s="23">
        <f>'Resid Cust Fcst '!$L24*'Resid TSM UC Adj'!O23</f>
        <v>0</v>
      </c>
      <c r="P23" s="23">
        <f>'Resid Cust Fcst '!$L24*'Resid TSM UC Adj'!P23</f>
        <v>0</v>
      </c>
      <c r="Q23" s="45">
        <f>IF(SUM(N23:P23)=0,0,SUM(N23:P23)/'Resid Cust Fcst '!L24)</f>
        <v>0</v>
      </c>
      <c r="R23" s="137">
        <f t="shared" si="2"/>
        <v>0</v>
      </c>
      <c r="S23" s="23">
        <f t="shared" ref="S23:S37" si="4">C23+G23+K23+O23</f>
        <v>0</v>
      </c>
      <c r="T23" s="23">
        <f t="shared" ref="T23:T37" si="5">D23+H23+L23+P23</f>
        <v>0</v>
      </c>
      <c r="U23" s="45">
        <f>IF(SUM(R23:T23)=0,0,SUM(R23:T23)/'Resid Cust Fcst '!M24)</f>
        <v>0</v>
      </c>
      <c r="V23" s="137">
        <f>'Resid Cust Fcst '!$N24*'Resid TSM UC Adj'!R23</f>
        <v>0</v>
      </c>
      <c r="W23" s="23">
        <f>'Resid Cust Fcst '!$N24*'Resid TSM UC Adj'!S23</f>
        <v>0</v>
      </c>
      <c r="X23" s="23">
        <f>'Resid Cust Fcst '!$N24*'Resid TSM UC Adj'!T23</f>
        <v>0</v>
      </c>
      <c r="Y23" s="45">
        <f>IF(SUM(V23:X23)=0,0,SUM(V23:X23)/'Resid Cust Fcst '!N24)</f>
        <v>0</v>
      </c>
      <c r="Z23" s="137">
        <f t="shared" si="3"/>
        <v>0</v>
      </c>
      <c r="AA23" s="23">
        <f t="shared" ref="AA23:AA37" si="6">S23+W23</f>
        <v>0</v>
      </c>
      <c r="AB23" s="23">
        <f t="shared" ref="AB23:AB37" si="7">T23+X23</f>
        <v>0</v>
      </c>
      <c r="AC23" s="45">
        <f>IF(SUM(Z23:AB23)=0,0,SUM(Z23:AB23)/'Resid Cust Fcst '!O24)</f>
        <v>0</v>
      </c>
    </row>
    <row r="24" spans="1:29">
      <c r="A24" s="153" t="s">
        <v>16</v>
      </c>
      <c r="B24" s="137">
        <f>'Resid Cust Fcst '!$I25*'Resid TSM UC Adj'!J24</f>
        <v>0</v>
      </c>
      <c r="C24" s="23">
        <f>'Resid Cust Fcst '!$I25*'Resid TSM UC Adj'!K24</f>
        <v>0</v>
      </c>
      <c r="D24" s="23">
        <f>'Resid Cust Fcst '!$I25*'Resid TSM UC Adj'!L24</f>
        <v>0</v>
      </c>
      <c r="E24" s="45">
        <f>IF(SUM(B24:D24)=0,0,SUM(B24:D24)/'Resid Cust Fcst '!I25)</f>
        <v>0</v>
      </c>
      <c r="F24" s="137">
        <f>'Resid Cust Fcst '!$J25*'Resid TSM UC Adj'!J24</f>
        <v>0</v>
      </c>
      <c r="G24" s="23">
        <f>'Resid Cust Fcst '!$J25*'Resid TSM UC Adj'!K24</f>
        <v>0</v>
      </c>
      <c r="H24" s="23">
        <f>'Resid Cust Fcst '!$J25*'Resid TSM UC Adj'!L24</f>
        <v>0</v>
      </c>
      <c r="I24" s="45">
        <f>IF(SUM(F24:H24)=0,0,SUM(F24:H24)/'Resid Cust Fcst '!J25)</f>
        <v>0</v>
      </c>
      <c r="J24" s="137">
        <f>'Resid Cust Fcst '!$K25*'Resid TSM UC Adj'!J24</f>
        <v>0</v>
      </c>
      <c r="K24" s="23">
        <f>'Resid Cust Fcst '!$K25*'Resid TSM UC Adj'!K24</f>
        <v>0</v>
      </c>
      <c r="L24" s="23">
        <f>'Resid Cust Fcst '!$K25*'Resid TSM UC Adj'!L24</f>
        <v>0</v>
      </c>
      <c r="M24" s="45">
        <f>IF(SUM(J24:L24)=0,0,SUM(J24:L24)/'Resid Cust Fcst '!K25)</f>
        <v>0</v>
      </c>
      <c r="N24" s="137">
        <f>'Resid Cust Fcst '!$L25*'Resid TSM UC Adj'!N24</f>
        <v>0</v>
      </c>
      <c r="O24" s="23">
        <f>'Resid Cust Fcst '!$L25*'Resid TSM UC Adj'!O24</f>
        <v>0</v>
      </c>
      <c r="P24" s="23">
        <f>'Resid Cust Fcst '!$L25*'Resid TSM UC Adj'!P24</f>
        <v>0</v>
      </c>
      <c r="Q24" s="45">
        <f>IF(SUM(N24:P24)=0,0,SUM(N24:P24)/'Resid Cust Fcst '!L25)</f>
        <v>0</v>
      </c>
      <c r="R24" s="137">
        <f t="shared" si="2"/>
        <v>0</v>
      </c>
      <c r="S24" s="23">
        <f t="shared" si="4"/>
        <v>0</v>
      </c>
      <c r="T24" s="23">
        <f t="shared" si="5"/>
        <v>0</v>
      </c>
      <c r="U24" s="45">
        <f>IF(SUM(R24:T24)=0,0,SUM(R24:T24)/'Resid Cust Fcst '!M25)</f>
        <v>0</v>
      </c>
      <c r="V24" s="137">
        <f>'Resid Cust Fcst '!$N25*'Resid TSM UC Adj'!R24</f>
        <v>0</v>
      </c>
      <c r="W24" s="23">
        <f>'Resid Cust Fcst '!$N25*'Resid TSM UC Adj'!S24</f>
        <v>0</v>
      </c>
      <c r="X24" s="23">
        <f>'Resid Cust Fcst '!$N25*'Resid TSM UC Adj'!T24</f>
        <v>0</v>
      </c>
      <c r="Y24" s="45">
        <f>IF(SUM(V24:X24)=0,0,SUM(V24:X24)/'Resid Cust Fcst '!N25)</f>
        <v>0</v>
      </c>
      <c r="Z24" s="137">
        <f t="shared" si="3"/>
        <v>0</v>
      </c>
      <c r="AA24" s="23">
        <f t="shared" si="6"/>
        <v>0</v>
      </c>
      <c r="AB24" s="23">
        <f t="shared" si="7"/>
        <v>0</v>
      </c>
      <c r="AC24" s="45">
        <f>IF(SUM(Z24:AB24)=0,0,SUM(Z24:AB24)/'Resid Cust Fcst '!O25)</f>
        <v>0</v>
      </c>
    </row>
    <row r="25" spans="1:29">
      <c r="A25" s="153" t="s">
        <v>17</v>
      </c>
      <c r="B25" s="137">
        <f>'Resid Cust Fcst '!$I26*'Resid TSM UC Adj'!J25</f>
        <v>0</v>
      </c>
      <c r="C25" s="23">
        <f>'Resid Cust Fcst '!$I26*'Resid TSM UC Adj'!K25</f>
        <v>0</v>
      </c>
      <c r="D25" s="23">
        <f>'Resid Cust Fcst '!$I26*'Resid TSM UC Adj'!L25</f>
        <v>0</v>
      </c>
      <c r="E25" s="45">
        <f>IF(SUM(B25:D25)=0,0,SUM(B25:D25)/'Resid Cust Fcst '!I26)</f>
        <v>0</v>
      </c>
      <c r="F25" s="137">
        <f>'Resid Cust Fcst '!$J26*'Resid TSM UC Adj'!J25</f>
        <v>0</v>
      </c>
      <c r="G25" s="23">
        <f>'Resid Cust Fcst '!$J26*'Resid TSM UC Adj'!K25</f>
        <v>0</v>
      </c>
      <c r="H25" s="23">
        <f>'Resid Cust Fcst '!$J26*'Resid TSM UC Adj'!L25</f>
        <v>0</v>
      </c>
      <c r="I25" s="45">
        <f>IF(SUM(F25:H25)=0,0,SUM(F25:H25)/'Resid Cust Fcst '!J26)</f>
        <v>0</v>
      </c>
      <c r="J25" s="137">
        <f>'Resid Cust Fcst '!$K26*'Resid TSM UC Adj'!J25</f>
        <v>0</v>
      </c>
      <c r="K25" s="23">
        <f>'Resid Cust Fcst '!$K26*'Resid TSM UC Adj'!K25</f>
        <v>0</v>
      </c>
      <c r="L25" s="23">
        <f>'Resid Cust Fcst '!$K26*'Resid TSM UC Adj'!L25</f>
        <v>0</v>
      </c>
      <c r="M25" s="45">
        <f>IF(SUM(J25:L25)=0,0,SUM(J25:L25)/'Resid Cust Fcst '!K26)</f>
        <v>0</v>
      </c>
      <c r="N25" s="137">
        <f>'Resid Cust Fcst '!$L26*'Resid TSM UC Adj'!N25</f>
        <v>0</v>
      </c>
      <c r="O25" s="23">
        <f>'Resid Cust Fcst '!$L26*'Resid TSM UC Adj'!O25</f>
        <v>0</v>
      </c>
      <c r="P25" s="23">
        <f>'Resid Cust Fcst '!$L26*'Resid TSM UC Adj'!P25</f>
        <v>0</v>
      </c>
      <c r="Q25" s="45">
        <f>IF(SUM(N25:P25)=0,0,SUM(N25:P25)/'Resid Cust Fcst '!L26)</f>
        <v>0</v>
      </c>
      <c r="R25" s="137">
        <f t="shared" si="2"/>
        <v>0</v>
      </c>
      <c r="S25" s="23">
        <f t="shared" si="4"/>
        <v>0</v>
      </c>
      <c r="T25" s="23">
        <f t="shared" si="5"/>
        <v>0</v>
      </c>
      <c r="U25" s="45">
        <f>IF(SUM(R25:T25)=0,0,SUM(R25:T25)/'Resid Cust Fcst '!M26)</f>
        <v>0</v>
      </c>
      <c r="V25" s="137">
        <f>'Resid Cust Fcst '!$N26*'Resid TSM UC Adj'!R25</f>
        <v>0</v>
      </c>
      <c r="W25" s="23">
        <f>'Resid Cust Fcst '!$N26*'Resid TSM UC Adj'!S25</f>
        <v>0</v>
      </c>
      <c r="X25" s="23">
        <f>'Resid Cust Fcst '!$N26*'Resid TSM UC Adj'!T25</f>
        <v>0</v>
      </c>
      <c r="Y25" s="45">
        <f>IF(SUM(V25:X25)=0,0,SUM(V25:X25)/'Resid Cust Fcst '!N26)</f>
        <v>0</v>
      </c>
      <c r="Z25" s="137">
        <f t="shared" si="3"/>
        <v>0</v>
      </c>
      <c r="AA25" s="23">
        <f t="shared" si="6"/>
        <v>0</v>
      </c>
      <c r="AB25" s="23">
        <f t="shared" si="7"/>
        <v>0</v>
      </c>
      <c r="AC25" s="45">
        <f>IF(SUM(Z25:AB25)=0,0,SUM(Z25:AB25)/'Resid Cust Fcst '!O26)</f>
        <v>0</v>
      </c>
    </row>
    <row r="26" spans="1:29">
      <c r="A26" s="153" t="s">
        <v>18</v>
      </c>
      <c r="B26" s="137">
        <f>'Resid Cust Fcst '!$I27*'Resid TSM UC Adj'!J26</f>
        <v>0</v>
      </c>
      <c r="C26" s="23">
        <f>'Resid Cust Fcst '!$I27*'Resid TSM UC Adj'!K26</f>
        <v>0</v>
      </c>
      <c r="D26" s="23">
        <f>'Resid Cust Fcst '!$I27*'Resid TSM UC Adj'!L26</f>
        <v>0</v>
      </c>
      <c r="E26" s="45">
        <f>IF(SUM(B26:D26)=0,0,SUM(B26:D26)/'Resid Cust Fcst '!I27)</f>
        <v>0</v>
      </c>
      <c r="F26" s="137">
        <f>'Resid Cust Fcst '!$J27*'Resid TSM UC Adj'!J26</f>
        <v>0</v>
      </c>
      <c r="G26" s="23">
        <f>'Resid Cust Fcst '!$J27*'Resid TSM UC Adj'!K26</f>
        <v>0</v>
      </c>
      <c r="H26" s="23">
        <f>'Resid Cust Fcst '!$J27*'Resid TSM UC Adj'!L26</f>
        <v>0</v>
      </c>
      <c r="I26" s="45">
        <f>IF(SUM(F26:H26)=0,0,SUM(F26:H26)/'Resid Cust Fcst '!J27)</f>
        <v>0</v>
      </c>
      <c r="J26" s="137">
        <f>'Resid Cust Fcst '!$K27*'Resid TSM UC Adj'!J26</f>
        <v>0</v>
      </c>
      <c r="K26" s="23">
        <f>'Resid Cust Fcst '!$K27*'Resid TSM UC Adj'!K26</f>
        <v>0</v>
      </c>
      <c r="L26" s="23">
        <f>'Resid Cust Fcst '!$K27*'Resid TSM UC Adj'!L26</f>
        <v>0</v>
      </c>
      <c r="M26" s="45">
        <f>IF(SUM(J26:L26)=0,0,SUM(J26:L26)/'Resid Cust Fcst '!K27)</f>
        <v>0</v>
      </c>
      <c r="N26" s="137">
        <f>'Resid Cust Fcst '!$L27*'Resid TSM UC Adj'!N26</f>
        <v>0</v>
      </c>
      <c r="O26" s="23">
        <f>'Resid Cust Fcst '!$L27*'Resid TSM UC Adj'!O26</f>
        <v>0</v>
      </c>
      <c r="P26" s="23">
        <f>'Resid Cust Fcst '!$L27*'Resid TSM UC Adj'!P26</f>
        <v>0</v>
      </c>
      <c r="Q26" s="45">
        <f>IF(SUM(N26:P26)=0,0,SUM(N26:P26)/'Resid Cust Fcst '!L27)</f>
        <v>0</v>
      </c>
      <c r="R26" s="137">
        <f t="shared" si="2"/>
        <v>0</v>
      </c>
      <c r="S26" s="23">
        <f t="shared" si="4"/>
        <v>0</v>
      </c>
      <c r="T26" s="23">
        <f t="shared" si="5"/>
        <v>0</v>
      </c>
      <c r="U26" s="45">
        <f>IF(SUM(R26:T26)=0,0,SUM(R26:T26)/'Resid Cust Fcst '!M27)</f>
        <v>0</v>
      </c>
      <c r="V26" s="137">
        <f>'Resid Cust Fcst '!$N27*'Resid TSM UC Adj'!R26</f>
        <v>0</v>
      </c>
      <c r="W26" s="23">
        <f>'Resid Cust Fcst '!$N27*'Resid TSM UC Adj'!S26</f>
        <v>0</v>
      </c>
      <c r="X26" s="23">
        <f>'Resid Cust Fcst '!$N27*'Resid TSM UC Adj'!T26</f>
        <v>0</v>
      </c>
      <c r="Y26" s="45">
        <f>IF(SUM(V26:X26)=0,0,SUM(V26:X26)/'Resid Cust Fcst '!N27)</f>
        <v>0</v>
      </c>
      <c r="Z26" s="137">
        <f t="shared" si="3"/>
        <v>0</v>
      </c>
      <c r="AA26" s="23">
        <f t="shared" si="6"/>
        <v>0</v>
      </c>
      <c r="AB26" s="23">
        <f t="shared" si="7"/>
        <v>0</v>
      </c>
      <c r="AC26" s="45">
        <f>IF(SUM(Z26:AB26)=0,0,SUM(Z26:AB26)/'Resid Cust Fcst '!O27)</f>
        <v>0</v>
      </c>
    </row>
    <row r="27" spans="1:29">
      <c r="A27" s="153" t="s">
        <v>19</v>
      </c>
      <c r="B27" s="137">
        <f>'Resid Cust Fcst '!$I28*'Resid TSM UC Adj'!J27</f>
        <v>0</v>
      </c>
      <c r="C27" s="23">
        <f>'Resid Cust Fcst '!$I28*'Resid TSM UC Adj'!K27</f>
        <v>0</v>
      </c>
      <c r="D27" s="23">
        <f>'Resid Cust Fcst '!$I28*'Resid TSM UC Adj'!L27</f>
        <v>0</v>
      </c>
      <c r="E27" s="45">
        <f>IF(SUM(B27:D27)=0,0,SUM(B27:D27)/'Resid Cust Fcst '!I28)</f>
        <v>0</v>
      </c>
      <c r="F27" s="137">
        <f>'Resid Cust Fcst '!$J28*'Resid TSM UC Adj'!J27</f>
        <v>0</v>
      </c>
      <c r="G27" s="23">
        <f>'Resid Cust Fcst '!$J28*'Resid TSM UC Adj'!K27</f>
        <v>0</v>
      </c>
      <c r="H27" s="23">
        <f>'Resid Cust Fcst '!$J28*'Resid TSM UC Adj'!L27</f>
        <v>0</v>
      </c>
      <c r="I27" s="45">
        <f>IF(SUM(F27:H27)=0,0,SUM(F27:H27)/'Resid Cust Fcst '!J28)</f>
        <v>0</v>
      </c>
      <c r="J27" s="137">
        <f>'Resid Cust Fcst '!$K28*'Resid TSM UC Adj'!J27</f>
        <v>0</v>
      </c>
      <c r="K27" s="23">
        <f>'Resid Cust Fcst '!$K28*'Resid TSM UC Adj'!K27</f>
        <v>0</v>
      </c>
      <c r="L27" s="23">
        <f>'Resid Cust Fcst '!$K28*'Resid TSM UC Adj'!L27</f>
        <v>0</v>
      </c>
      <c r="M27" s="45">
        <f>IF(SUM(J27:L27)=0,0,SUM(J27:L27)/'Resid Cust Fcst '!K28)</f>
        <v>0</v>
      </c>
      <c r="N27" s="137">
        <f>'Resid Cust Fcst '!$L28*'Resid TSM UC Adj'!N27</f>
        <v>0</v>
      </c>
      <c r="O27" s="23">
        <f>'Resid Cust Fcst '!$L28*'Resid TSM UC Adj'!O27</f>
        <v>0</v>
      </c>
      <c r="P27" s="23">
        <f>'Resid Cust Fcst '!$L28*'Resid TSM UC Adj'!P27</f>
        <v>0</v>
      </c>
      <c r="Q27" s="45">
        <f>IF(SUM(N27:P27)=0,0,SUM(N27:P27)/'Resid Cust Fcst '!L28)</f>
        <v>0</v>
      </c>
      <c r="R27" s="137">
        <f t="shared" si="2"/>
        <v>0</v>
      </c>
      <c r="S27" s="23">
        <f t="shared" si="4"/>
        <v>0</v>
      </c>
      <c r="T27" s="23">
        <f t="shared" si="5"/>
        <v>0</v>
      </c>
      <c r="U27" s="45">
        <f>IF(SUM(R27:T27)=0,0,SUM(R27:T27)/'Resid Cust Fcst '!M28)</f>
        <v>0</v>
      </c>
      <c r="V27" s="137">
        <f>'Resid Cust Fcst '!$N28*'Resid TSM UC Adj'!R27</f>
        <v>0</v>
      </c>
      <c r="W27" s="23">
        <f>'Resid Cust Fcst '!$N28*'Resid TSM UC Adj'!S27</f>
        <v>0</v>
      </c>
      <c r="X27" s="23">
        <f>'Resid Cust Fcst '!$N28*'Resid TSM UC Adj'!T27</f>
        <v>0</v>
      </c>
      <c r="Y27" s="45">
        <f>IF(SUM(V27:X27)=0,0,SUM(V27:X27)/'Resid Cust Fcst '!N28)</f>
        <v>0</v>
      </c>
      <c r="Z27" s="137">
        <f t="shared" si="3"/>
        <v>0</v>
      </c>
      <c r="AA27" s="23">
        <f t="shared" si="6"/>
        <v>0</v>
      </c>
      <c r="AB27" s="23">
        <f t="shared" si="7"/>
        <v>0</v>
      </c>
      <c r="AC27" s="45">
        <f>IF(SUM(Z27:AB27)=0,0,SUM(Z27:AB27)/'Resid Cust Fcst '!O28)</f>
        <v>0</v>
      </c>
    </row>
    <row r="28" spans="1:29">
      <c r="A28" s="153" t="s">
        <v>20</v>
      </c>
      <c r="B28" s="137">
        <f>'Resid Cust Fcst '!$I29*'Resid TSM UC Adj'!J28</f>
        <v>0</v>
      </c>
      <c r="C28" s="23">
        <f>'Resid Cust Fcst '!$I29*'Resid TSM UC Adj'!K28</f>
        <v>0</v>
      </c>
      <c r="D28" s="23">
        <f>'Resid Cust Fcst '!$I29*'Resid TSM UC Adj'!L28</f>
        <v>0</v>
      </c>
      <c r="E28" s="45">
        <f>IF(SUM(B28:D28)=0,0,SUM(B28:D28)/'Resid Cust Fcst '!I29)</f>
        <v>0</v>
      </c>
      <c r="F28" s="137">
        <f>'Resid Cust Fcst '!$J29*'Resid TSM UC Adj'!J28</f>
        <v>0</v>
      </c>
      <c r="G28" s="23">
        <f>'Resid Cust Fcst '!$J29*'Resid TSM UC Adj'!K28</f>
        <v>0</v>
      </c>
      <c r="H28" s="23">
        <f>'Resid Cust Fcst '!$J29*'Resid TSM UC Adj'!L28</f>
        <v>0</v>
      </c>
      <c r="I28" s="45">
        <f>IF(SUM(F28:H28)=0,0,SUM(F28:H28)/'Resid Cust Fcst '!J29)</f>
        <v>0</v>
      </c>
      <c r="J28" s="137">
        <f>'Resid Cust Fcst '!$K29*'Resid TSM UC Adj'!J28</f>
        <v>0</v>
      </c>
      <c r="K28" s="23">
        <f>'Resid Cust Fcst '!$K29*'Resid TSM UC Adj'!K28</f>
        <v>0</v>
      </c>
      <c r="L28" s="23">
        <f>'Resid Cust Fcst '!$K29*'Resid TSM UC Adj'!L28</f>
        <v>0</v>
      </c>
      <c r="M28" s="45">
        <f>IF(SUM(J28:L28)=0,0,SUM(J28:L28)/'Resid Cust Fcst '!K29)</f>
        <v>0</v>
      </c>
      <c r="N28" s="137">
        <f>'Resid Cust Fcst '!$L29*'Resid TSM UC Adj'!N28</f>
        <v>0</v>
      </c>
      <c r="O28" s="23">
        <f>'Resid Cust Fcst '!$L29*'Resid TSM UC Adj'!O28</f>
        <v>0</v>
      </c>
      <c r="P28" s="23">
        <f>'Resid Cust Fcst '!$L29*'Resid TSM UC Adj'!P28</f>
        <v>0</v>
      </c>
      <c r="Q28" s="45">
        <f>IF(SUM(N28:P28)=0,0,SUM(N28:P28)/'Resid Cust Fcst '!L29)</f>
        <v>0</v>
      </c>
      <c r="R28" s="137">
        <f t="shared" si="2"/>
        <v>0</v>
      </c>
      <c r="S28" s="23">
        <f t="shared" si="4"/>
        <v>0</v>
      </c>
      <c r="T28" s="23">
        <f t="shared" si="5"/>
        <v>0</v>
      </c>
      <c r="U28" s="45">
        <f>IF(SUM(R28:T28)=0,0,SUM(R28:T28)/'Resid Cust Fcst '!M29)</f>
        <v>0</v>
      </c>
      <c r="V28" s="137">
        <f>'Resid Cust Fcst '!$N29*'Resid TSM UC Adj'!R28</f>
        <v>0</v>
      </c>
      <c r="W28" s="23">
        <f>'Resid Cust Fcst '!$N29*'Resid TSM UC Adj'!S28</f>
        <v>0</v>
      </c>
      <c r="X28" s="23">
        <f>'Resid Cust Fcst '!$N29*'Resid TSM UC Adj'!T28</f>
        <v>0</v>
      </c>
      <c r="Y28" s="45">
        <f>IF(SUM(V28:X28)=0,0,SUM(V28:X28)/'Resid Cust Fcst '!N29)</f>
        <v>0</v>
      </c>
      <c r="Z28" s="137">
        <f t="shared" si="3"/>
        <v>0</v>
      </c>
      <c r="AA28" s="23">
        <f t="shared" si="6"/>
        <v>0</v>
      </c>
      <c r="AB28" s="23">
        <f t="shared" si="7"/>
        <v>0</v>
      </c>
      <c r="AC28" s="45">
        <f>IF(SUM(Z28:AB28)=0,0,SUM(Z28:AB28)/'Resid Cust Fcst '!O29)</f>
        <v>0</v>
      </c>
    </row>
    <row r="29" spans="1:29">
      <c r="A29" s="153" t="s">
        <v>21</v>
      </c>
      <c r="B29" s="137">
        <f>'Resid Cust Fcst '!$I30*'Resid TSM UC Adj'!J29</f>
        <v>0</v>
      </c>
      <c r="C29" s="23">
        <f>'Resid Cust Fcst '!$I30*'Resid TSM UC Adj'!K29</f>
        <v>0</v>
      </c>
      <c r="D29" s="23">
        <f>'Resid Cust Fcst '!$I30*'Resid TSM UC Adj'!L29</f>
        <v>0</v>
      </c>
      <c r="E29" s="45">
        <f>IF(SUM(B29:D29)=0,0,SUM(B29:D29)/'Resid Cust Fcst '!I30)</f>
        <v>0</v>
      </c>
      <c r="F29" s="137">
        <f>'Resid Cust Fcst '!$J30*'Resid TSM UC Adj'!J29</f>
        <v>0</v>
      </c>
      <c r="G29" s="23">
        <f>'Resid Cust Fcst '!$J30*'Resid TSM UC Adj'!K29</f>
        <v>0</v>
      </c>
      <c r="H29" s="23">
        <f>'Resid Cust Fcst '!$J30*'Resid TSM UC Adj'!L29</f>
        <v>0</v>
      </c>
      <c r="I29" s="45">
        <f>IF(SUM(F29:H29)=0,0,SUM(F29:H29)/'Resid Cust Fcst '!J30)</f>
        <v>0</v>
      </c>
      <c r="J29" s="137">
        <f>'Resid Cust Fcst '!$K30*'Resid TSM UC Adj'!J29</f>
        <v>0</v>
      </c>
      <c r="K29" s="23">
        <f>'Resid Cust Fcst '!$K30*'Resid TSM UC Adj'!K29</f>
        <v>0</v>
      </c>
      <c r="L29" s="23">
        <f>'Resid Cust Fcst '!$K30*'Resid TSM UC Adj'!L29</f>
        <v>0</v>
      </c>
      <c r="M29" s="45">
        <f>IF(SUM(J29:L29)=0,0,SUM(J29:L29)/'Resid Cust Fcst '!K30)</f>
        <v>0</v>
      </c>
      <c r="N29" s="137">
        <f>'Resid Cust Fcst '!$L30*'Resid TSM UC Adj'!N29</f>
        <v>0</v>
      </c>
      <c r="O29" s="23">
        <f>'Resid Cust Fcst '!$L30*'Resid TSM UC Adj'!O29</f>
        <v>0</v>
      </c>
      <c r="P29" s="23">
        <f>'Resid Cust Fcst '!$L30*'Resid TSM UC Adj'!P29</f>
        <v>0</v>
      </c>
      <c r="Q29" s="45">
        <f>IF(SUM(N29:P29)=0,0,SUM(N29:P29)/'Resid Cust Fcst '!L30)</f>
        <v>0</v>
      </c>
      <c r="R29" s="137">
        <f t="shared" si="2"/>
        <v>0</v>
      </c>
      <c r="S29" s="23">
        <f t="shared" si="4"/>
        <v>0</v>
      </c>
      <c r="T29" s="23">
        <f t="shared" si="5"/>
        <v>0</v>
      </c>
      <c r="U29" s="45">
        <f>IF(SUM(R29:T29)=0,0,SUM(R29:T29)/'Resid Cust Fcst '!M30)</f>
        <v>0</v>
      </c>
      <c r="V29" s="137">
        <f>'Resid Cust Fcst '!$N30*'Resid TSM UC Adj'!R29</f>
        <v>0</v>
      </c>
      <c r="W29" s="23">
        <f>'Resid Cust Fcst '!$N30*'Resid TSM UC Adj'!S29</f>
        <v>0</v>
      </c>
      <c r="X29" s="23">
        <f>'Resid Cust Fcst '!$N30*'Resid TSM UC Adj'!T29</f>
        <v>0</v>
      </c>
      <c r="Y29" s="45">
        <f>IF(SUM(V29:X29)=0,0,SUM(V29:X29)/'Resid Cust Fcst '!N30)</f>
        <v>0</v>
      </c>
      <c r="Z29" s="137">
        <f t="shared" si="3"/>
        <v>0</v>
      </c>
      <c r="AA29" s="23">
        <f t="shared" si="6"/>
        <v>0</v>
      </c>
      <c r="AB29" s="23">
        <f t="shared" si="7"/>
        <v>0</v>
      </c>
      <c r="AC29" s="45">
        <f>IF(SUM(Z29:AB29)=0,0,SUM(Z29:AB29)/'Resid Cust Fcst '!O30)</f>
        <v>0</v>
      </c>
    </row>
    <row r="30" spans="1:29">
      <c r="A30" s="153" t="s">
        <v>22</v>
      </c>
      <c r="B30" s="137">
        <f>'Resid Cust Fcst '!$I31*'Resid TSM UC Adj'!J30</f>
        <v>0</v>
      </c>
      <c r="C30" s="23">
        <f>'Resid Cust Fcst '!$I31*'Resid TSM UC Adj'!K30</f>
        <v>0</v>
      </c>
      <c r="D30" s="23">
        <f>'Resid Cust Fcst '!$I31*'Resid TSM UC Adj'!L30</f>
        <v>0</v>
      </c>
      <c r="E30" s="45">
        <f>IF(SUM(B30:D30)=0,0,SUM(B30:D30)/'Resid Cust Fcst '!I31)</f>
        <v>0</v>
      </c>
      <c r="F30" s="137">
        <f>'Resid Cust Fcst '!$J31*'Resid TSM UC Adj'!J30</f>
        <v>0</v>
      </c>
      <c r="G30" s="23">
        <f>'Resid Cust Fcst '!$J31*'Resid TSM UC Adj'!K30</f>
        <v>0</v>
      </c>
      <c r="H30" s="23">
        <f>'Resid Cust Fcst '!$J31*'Resid TSM UC Adj'!L30</f>
        <v>0</v>
      </c>
      <c r="I30" s="45">
        <f>IF(SUM(F30:H30)=0,0,SUM(F30:H30)/'Resid Cust Fcst '!J31)</f>
        <v>0</v>
      </c>
      <c r="J30" s="137">
        <f>'Resid Cust Fcst '!$K31*'Resid TSM UC Adj'!J30</f>
        <v>0</v>
      </c>
      <c r="K30" s="23">
        <f>'Resid Cust Fcst '!$K31*'Resid TSM UC Adj'!K30</f>
        <v>0</v>
      </c>
      <c r="L30" s="23">
        <f>'Resid Cust Fcst '!$K31*'Resid TSM UC Adj'!L30</f>
        <v>0</v>
      </c>
      <c r="M30" s="45">
        <f>IF(SUM(J30:L30)=0,0,SUM(J30:L30)/'Resid Cust Fcst '!K31)</f>
        <v>0</v>
      </c>
      <c r="N30" s="137">
        <f>'Resid Cust Fcst '!$L31*'Resid TSM UC Adj'!N30</f>
        <v>0</v>
      </c>
      <c r="O30" s="23">
        <f>'Resid Cust Fcst '!$L31*'Resid TSM UC Adj'!O30</f>
        <v>0</v>
      </c>
      <c r="P30" s="23">
        <f>'Resid Cust Fcst '!$L31*'Resid TSM UC Adj'!P30</f>
        <v>0</v>
      </c>
      <c r="Q30" s="45">
        <f>IF(SUM(N30:P30)=0,0,SUM(N30:P30)/'Resid Cust Fcst '!L31)</f>
        <v>0</v>
      </c>
      <c r="R30" s="137">
        <f t="shared" si="2"/>
        <v>0</v>
      </c>
      <c r="S30" s="23">
        <f t="shared" si="4"/>
        <v>0</v>
      </c>
      <c r="T30" s="23">
        <f t="shared" si="5"/>
        <v>0</v>
      </c>
      <c r="U30" s="45">
        <f>IF(SUM(R30:T30)=0,0,SUM(R30:T30)/'Resid Cust Fcst '!M31)</f>
        <v>0</v>
      </c>
      <c r="V30" s="137">
        <f>'Resid Cust Fcst '!$N31*'Resid TSM UC Adj'!R30</f>
        <v>0</v>
      </c>
      <c r="W30" s="23">
        <f>'Resid Cust Fcst '!$N31*'Resid TSM UC Adj'!S30</f>
        <v>0</v>
      </c>
      <c r="X30" s="23">
        <f>'Resid Cust Fcst '!$N31*'Resid TSM UC Adj'!T30</f>
        <v>0</v>
      </c>
      <c r="Y30" s="45">
        <f>IF(SUM(V30:X30)=0,0,SUM(V30:X30)/'Resid Cust Fcst '!N31)</f>
        <v>0</v>
      </c>
      <c r="Z30" s="137">
        <f t="shared" si="3"/>
        <v>0</v>
      </c>
      <c r="AA30" s="23">
        <f t="shared" si="6"/>
        <v>0</v>
      </c>
      <c r="AB30" s="23">
        <f t="shared" si="7"/>
        <v>0</v>
      </c>
      <c r="AC30" s="45">
        <f>IF(SUM(Z30:AB30)=0,0,SUM(Z30:AB30)/'Resid Cust Fcst '!O31)</f>
        <v>0</v>
      </c>
    </row>
    <row r="31" spans="1:29">
      <c r="A31" s="153" t="s">
        <v>23</v>
      </c>
      <c r="B31" s="137">
        <f>'Resid Cust Fcst '!$I32*'Resid TSM UC Adj'!J31</f>
        <v>0</v>
      </c>
      <c r="C31" s="23">
        <f>'Resid Cust Fcst '!$I32*'Resid TSM UC Adj'!K31</f>
        <v>0</v>
      </c>
      <c r="D31" s="23">
        <f>'Resid Cust Fcst '!$I32*'Resid TSM UC Adj'!L31</f>
        <v>0</v>
      </c>
      <c r="E31" s="45">
        <f>IF(SUM(B31:D31)=0,0,SUM(B31:D31)/'Resid Cust Fcst '!I32)</f>
        <v>0</v>
      </c>
      <c r="F31" s="137">
        <f>'Resid Cust Fcst '!$J32*'Resid TSM UC Adj'!J31</f>
        <v>0</v>
      </c>
      <c r="G31" s="23">
        <f>'Resid Cust Fcst '!$J32*'Resid TSM UC Adj'!K31</f>
        <v>0</v>
      </c>
      <c r="H31" s="23">
        <f>'Resid Cust Fcst '!$J32*'Resid TSM UC Adj'!L31</f>
        <v>0</v>
      </c>
      <c r="I31" s="45">
        <f>IF(SUM(F31:H31)=0,0,SUM(F31:H31)/'Resid Cust Fcst '!J32)</f>
        <v>0</v>
      </c>
      <c r="J31" s="137">
        <f>'Resid Cust Fcst '!$K32*'Resid TSM UC Adj'!J31</f>
        <v>0</v>
      </c>
      <c r="K31" s="23">
        <f>'Resid Cust Fcst '!$K32*'Resid TSM UC Adj'!K31</f>
        <v>0</v>
      </c>
      <c r="L31" s="23">
        <f>'Resid Cust Fcst '!$K32*'Resid TSM UC Adj'!L31</f>
        <v>0</v>
      </c>
      <c r="M31" s="45">
        <f>IF(SUM(J31:L31)=0,0,SUM(J31:L31)/'Resid Cust Fcst '!K32)</f>
        <v>0</v>
      </c>
      <c r="N31" s="137">
        <f>'Resid Cust Fcst '!$L32*'Resid TSM UC Adj'!N31</f>
        <v>0</v>
      </c>
      <c r="O31" s="23">
        <f>'Resid Cust Fcst '!$L32*'Resid TSM UC Adj'!O31</f>
        <v>0</v>
      </c>
      <c r="P31" s="23">
        <f>'Resid Cust Fcst '!$L32*'Resid TSM UC Adj'!P31</f>
        <v>0</v>
      </c>
      <c r="Q31" s="45">
        <f>IF(SUM(N31:P31)=0,0,SUM(N31:P31)/'Resid Cust Fcst '!L32)</f>
        <v>0</v>
      </c>
      <c r="R31" s="137">
        <f t="shared" si="2"/>
        <v>0</v>
      </c>
      <c r="S31" s="23">
        <f t="shared" si="4"/>
        <v>0</v>
      </c>
      <c r="T31" s="23">
        <f t="shared" si="5"/>
        <v>0</v>
      </c>
      <c r="U31" s="45">
        <f>IF(SUM(R31:T31)=0,0,SUM(R31:T31)/'Resid Cust Fcst '!M32)</f>
        <v>0</v>
      </c>
      <c r="V31" s="137">
        <f>'Resid Cust Fcst '!$N32*'Resid TSM UC Adj'!R31</f>
        <v>0</v>
      </c>
      <c r="W31" s="23">
        <f>'Resid Cust Fcst '!$N32*'Resid TSM UC Adj'!S31</f>
        <v>0</v>
      </c>
      <c r="X31" s="23">
        <f>'Resid Cust Fcst '!$N32*'Resid TSM UC Adj'!T31</f>
        <v>0</v>
      </c>
      <c r="Y31" s="45">
        <f>IF(SUM(V31:X31)=0,0,SUM(V31:X31)/'Resid Cust Fcst '!N32)</f>
        <v>0</v>
      </c>
      <c r="Z31" s="137">
        <f t="shared" si="3"/>
        <v>0</v>
      </c>
      <c r="AA31" s="23">
        <f t="shared" si="6"/>
        <v>0</v>
      </c>
      <c r="AB31" s="23">
        <f t="shared" si="7"/>
        <v>0</v>
      </c>
      <c r="AC31" s="45">
        <f>IF(SUM(Z31:AB31)=0,0,SUM(Z31:AB31)/'Resid Cust Fcst '!O32)</f>
        <v>0</v>
      </c>
    </row>
    <row r="32" spans="1:29">
      <c r="A32" s="153" t="s">
        <v>24</v>
      </c>
      <c r="B32" s="137">
        <f>'Resid Cust Fcst '!$I33*'Resid TSM UC Adj'!J32</f>
        <v>0</v>
      </c>
      <c r="C32" s="23">
        <f>'Resid Cust Fcst '!$I33*'Resid TSM UC Adj'!K32</f>
        <v>0</v>
      </c>
      <c r="D32" s="23">
        <f>'Resid Cust Fcst '!$I33*'Resid TSM UC Adj'!L32</f>
        <v>0</v>
      </c>
      <c r="E32" s="45">
        <f>IF(SUM(B32:D32)=0,0,SUM(B32:D32)/'Resid Cust Fcst '!I33)</f>
        <v>0</v>
      </c>
      <c r="F32" s="137">
        <f>'Resid Cust Fcst '!$J33*'Resid TSM UC Adj'!J32</f>
        <v>0</v>
      </c>
      <c r="G32" s="23">
        <f>'Resid Cust Fcst '!$J33*'Resid TSM UC Adj'!K32</f>
        <v>0</v>
      </c>
      <c r="H32" s="23">
        <f>'Resid Cust Fcst '!$J33*'Resid TSM UC Adj'!L32</f>
        <v>0</v>
      </c>
      <c r="I32" s="45">
        <f>IF(SUM(F32:H32)=0,0,SUM(F32:H32)/'Resid Cust Fcst '!J33)</f>
        <v>0</v>
      </c>
      <c r="J32" s="137">
        <f>'Resid Cust Fcst '!$K33*'Resid TSM UC Adj'!J32</f>
        <v>0</v>
      </c>
      <c r="K32" s="23">
        <f>'Resid Cust Fcst '!$K33*'Resid TSM UC Adj'!K32</f>
        <v>0</v>
      </c>
      <c r="L32" s="23">
        <f>'Resid Cust Fcst '!$K33*'Resid TSM UC Adj'!L32</f>
        <v>0</v>
      </c>
      <c r="M32" s="45">
        <f>IF(SUM(J32:L32)=0,0,SUM(J32:L32)/'Resid Cust Fcst '!K33)</f>
        <v>0</v>
      </c>
      <c r="N32" s="137">
        <f>'Resid Cust Fcst '!$L33*'Resid TSM UC Adj'!N32</f>
        <v>0</v>
      </c>
      <c r="O32" s="23">
        <f>'Resid Cust Fcst '!$L33*'Resid TSM UC Adj'!O32</f>
        <v>0</v>
      </c>
      <c r="P32" s="23">
        <f>'Resid Cust Fcst '!$L33*'Resid TSM UC Adj'!P32</f>
        <v>0</v>
      </c>
      <c r="Q32" s="45">
        <f>IF(SUM(N32:P32)=0,0,SUM(N32:P32)/'Resid Cust Fcst '!L33)</f>
        <v>0</v>
      </c>
      <c r="R32" s="137">
        <f t="shared" si="2"/>
        <v>0</v>
      </c>
      <c r="S32" s="23">
        <f t="shared" si="4"/>
        <v>0</v>
      </c>
      <c r="T32" s="23">
        <f t="shared" si="5"/>
        <v>0</v>
      </c>
      <c r="U32" s="45">
        <f>IF(SUM(R32:T32)=0,0,SUM(R32:T32)/'Resid Cust Fcst '!M33)</f>
        <v>0</v>
      </c>
      <c r="V32" s="137">
        <f>'Resid Cust Fcst '!$N33*'Resid TSM UC Adj'!R32</f>
        <v>0</v>
      </c>
      <c r="W32" s="23">
        <f>'Resid Cust Fcst '!$N33*'Resid TSM UC Adj'!S32</f>
        <v>0</v>
      </c>
      <c r="X32" s="23">
        <f>'Resid Cust Fcst '!$N33*'Resid TSM UC Adj'!T32</f>
        <v>0</v>
      </c>
      <c r="Y32" s="45">
        <f>IF(SUM(V32:X32)=0,0,SUM(V32:X32)/'Resid Cust Fcst '!N33)</f>
        <v>0</v>
      </c>
      <c r="Z32" s="137">
        <f t="shared" si="3"/>
        <v>0</v>
      </c>
      <c r="AA32" s="23">
        <f t="shared" si="6"/>
        <v>0</v>
      </c>
      <c r="AB32" s="23">
        <f t="shared" si="7"/>
        <v>0</v>
      </c>
      <c r="AC32" s="45">
        <f>IF(SUM(Z32:AB32)=0,0,SUM(Z32:AB32)/'Resid Cust Fcst '!O33)</f>
        <v>0</v>
      </c>
    </row>
    <row r="33" spans="1:29">
      <c r="A33" s="153" t="s">
        <v>25</v>
      </c>
      <c r="B33" s="137">
        <f>'Resid Cust Fcst '!$I34*'Resid TSM UC Adj'!J33</f>
        <v>0</v>
      </c>
      <c r="C33" s="23">
        <f>'Resid Cust Fcst '!$I34*'Resid TSM UC Adj'!K33</f>
        <v>0</v>
      </c>
      <c r="D33" s="23">
        <f>'Resid Cust Fcst '!$I34*'Resid TSM UC Adj'!L33</f>
        <v>0</v>
      </c>
      <c r="E33" s="45">
        <f>IF(SUM(B33:D33)=0,0,SUM(B33:D33)/'Resid Cust Fcst '!I34)</f>
        <v>0</v>
      </c>
      <c r="F33" s="137">
        <f>'Resid Cust Fcst '!$J34*'Resid TSM UC Adj'!J33</f>
        <v>0</v>
      </c>
      <c r="G33" s="23">
        <f>'Resid Cust Fcst '!$J34*'Resid TSM UC Adj'!K33</f>
        <v>0</v>
      </c>
      <c r="H33" s="23">
        <f>'Resid Cust Fcst '!$J34*'Resid TSM UC Adj'!L33</f>
        <v>0</v>
      </c>
      <c r="I33" s="45">
        <f>IF(SUM(F33:H33)=0,0,SUM(F33:H33)/'Resid Cust Fcst '!J34)</f>
        <v>0</v>
      </c>
      <c r="J33" s="137">
        <f>'Resid Cust Fcst '!$K34*'Resid TSM UC Adj'!J33</f>
        <v>0</v>
      </c>
      <c r="K33" s="23">
        <f>'Resid Cust Fcst '!$K34*'Resid TSM UC Adj'!K33</f>
        <v>0</v>
      </c>
      <c r="L33" s="23">
        <f>'Resid Cust Fcst '!$K34*'Resid TSM UC Adj'!L33</f>
        <v>0</v>
      </c>
      <c r="M33" s="45">
        <f>IF(SUM(J33:L33)=0,0,SUM(J33:L33)/'Resid Cust Fcst '!K34)</f>
        <v>0</v>
      </c>
      <c r="N33" s="137">
        <f>'Resid Cust Fcst '!$L34*'Resid TSM UC Adj'!N33</f>
        <v>0</v>
      </c>
      <c r="O33" s="23">
        <f>'Resid Cust Fcst '!$L34*'Resid TSM UC Adj'!O33</f>
        <v>0</v>
      </c>
      <c r="P33" s="23">
        <f>'Resid Cust Fcst '!$L34*'Resid TSM UC Adj'!P33</f>
        <v>0</v>
      </c>
      <c r="Q33" s="45">
        <f>IF(SUM(N33:P33)=0,0,SUM(N33:P33)/'Resid Cust Fcst '!L34)</f>
        <v>0</v>
      </c>
      <c r="R33" s="137">
        <f t="shared" si="2"/>
        <v>0</v>
      </c>
      <c r="S33" s="23">
        <f t="shared" si="4"/>
        <v>0</v>
      </c>
      <c r="T33" s="23">
        <f t="shared" si="5"/>
        <v>0</v>
      </c>
      <c r="U33" s="45">
        <f>IF(SUM(R33:T33)=0,0,SUM(R33:T33)/'Resid Cust Fcst '!M34)</f>
        <v>0</v>
      </c>
      <c r="V33" s="137">
        <f>'Resid Cust Fcst '!$N34*'Resid TSM UC Adj'!R33</f>
        <v>0</v>
      </c>
      <c r="W33" s="23">
        <f>'Resid Cust Fcst '!$N34*'Resid TSM UC Adj'!S33</f>
        <v>0</v>
      </c>
      <c r="X33" s="23">
        <f>'Resid Cust Fcst '!$N34*'Resid TSM UC Adj'!T33</f>
        <v>0</v>
      </c>
      <c r="Y33" s="45">
        <f>IF(SUM(V33:X33)=0,0,SUM(V33:X33)/'Resid Cust Fcst '!N34)</f>
        <v>0</v>
      </c>
      <c r="Z33" s="137">
        <f t="shared" si="3"/>
        <v>0</v>
      </c>
      <c r="AA33" s="23">
        <f t="shared" si="6"/>
        <v>0</v>
      </c>
      <c r="AB33" s="23">
        <f t="shared" si="7"/>
        <v>0</v>
      </c>
      <c r="AC33" s="45">
        <f>IF(SUM(Z33:AB33)=0,0,SUM(Z33:AB33)/'Resid Cust Fcst '!O34)</f>
        <v>0</v>
      </c>
    </row>
    <row r="34" spans="1:29">
      <c r="A34" s="153" t="s">
        <v>125</v>
      </c>
      <c r="B34" s="137">
        <f>'Resid Cust Fcst '!$I35*'Resid TSM UC Adj'!J34</f>
        <v>0</v>
      </c>
      <c r="C34" s="23">
        <f>'Resid Cust Fcst '!$I35*'Resid TSM UC Adj'!K34</f>
        <v>0</v>
      </c>
      <c r="D34" s="23">
        <f>'Resid Cust Fcst '!$I35*'Resid TSM UC Adj'!L34</f>
        <v>0</v>
      </c>
      <c r="E34" s="45">
        <f>IF(SUM(B34:D34)=0,0,SUM(B34:D34)/'Resid Cust Fcst '!I35)</f>
        <v>0</v>
      </c>
      <c r="F34" s="137">
        <f>'Resid Cust Fcst '!$J35*'Resid TSM UC Adj'!J34</f>
        <v>0</v>
      </c>
      <c r="G34" s="23">
        <f>'Resid Cust Fcst '!$J35*'Resid TSM UC Adj'!K34</f>
        <v>0</v>
      </c>
      <c r="H34" s="23">
        <f>'Resid Cust Fcst '!$J35*'Resid TSM UC Adj'!L34</f>
        <v>0</v>
      </c>
      <c r="I34" s="45">
        <f>IF(SUM(F34:H34)=0,0,SUM(F34:H34)/'Resid Cust Fcst '!J35)</f>
        <v>0</v>
      </c>
      <c r="J34" s="137">
        <f>'Resid Cust Fcst '!$K35*'Resid TSM UC Adj'!J34</f>
        <v>0</v>
      </c>
      <c r="K34" s="23">
        <f>'Resid Cust Fcst '!$K35*'Resid TSM UC Adj'!K34</f>
        <v>0</v>
      </c>
      <c r="L34" s="23">
        <f>'Resid Cust Fcst '!$K35*'Resid TSM UC Adj'!L34</f>
        <v>0</v>
      </c>
      <c r="M34" s="45">
        <f>IF(SUM(J34:L34)=0,0,SUM(J34:L34)/'Resid Cust Fcst '!K35)</f>
        <v>0</v>
      </c>
      <c r="N34" s="137">
        <f>'Resid Cust Fcst '!$L35*'Resid TSM UC Adj'!N34</f>
        <v>0</v>
      </c>
      <c r="O34" s="23">
        <f>'Resid Cust Fcst '!$L35*'Resid TSM UC Adj'!O34</f>
        <v>0</v>
      </c>
      <c r="P34" s="23">
        <f>'Resid Cust Fcst '!$L35*'Resid TSM UC Adj'!P34</f>
        <v>0</v>
      </c>
      <c r="Q34" s="45">
        <f>IF(SUM(N34:P34)=0,0,SUM(N34:P34)/'Resid Cust Fcst '!L35)</f>
        <v>0</v>
      </c>
      <c r="R34" s="137">
        <f t="shared" si="2"/>
        <v>0</v>
      </c>
      <c r="S34" s="23">
        <f t="shared" si="4"/>
        <v>0</v>
      </c>
      <c r="T34" s="23">
        <f t="shared" si="5"/>
        <v>0</v>
      </c>
      <c r="U34" s="45">
        <f>IF(SUM(R34:T34)=0,0,SUM(R34:T34)/'Resid Cust Fcst '!M35)</f>
        <v>0</v>
      </c>
      <c r="V34" s="137">
        <f>'Resid Cust Fcst '!$N35*'Resid TSM UC Adj'!R34</f>
        <v>0</v>
      </c>
      <c r="W34" s="23">
        <f>'Resid Cust Fcst '!$N35*'Resid TSM UC Adj'!S34</f>
        <v>0</v>
      </c>
      <c r="X34" s="23">
        <f>'Resid Cust Fcst '!$N35*'Resid TSM UC Adj'!T34</f>
        <v>0</v>
      </c>
      <c r="Y34" s="45">
        <f>IF(SUM(V34:X34)=0,0,SUM(V34:X34)/'Resid Cust Fcst '!N35)</f>
        <v>0</v>
      </c>
      <c r="Z34" s="137">
        <f t="shared" si="3"/>
        <v>0</v>
      </c>
      <c r="AA34" s="23">
        <f t="shared" si="6"/>
        <v>0</v>
      </c>
      <c r="AB34" s="23">
        <f t="shared" si="7"/>
        <v>0</v>
      </c>
      <c r="AC34" s="45">
        <f>IF(SUM(Z34:AB34)=0,0,SUM(Z34:AB34)/'Resid Cust Fcst '!O35)</f>
        <v>0</v>
      </c>
    </row>
    <row r="35" spans="1:29">
      <c r="A35" s="153" t="s">
        <v>126</v>
      </c>
      <c r="B35" s="137">
        <f>'Resid Cust Fcst '!$I36*'Resid TSM UC Adj'!J35</f>
        <v>0</v>
      </c>
      <c r="C35" s="23">
        <f>'Resid Cust Fcst '!$I36*'Resid TSM UC Adj'!K35</f>
        <v>0</v>
      </c>
      <c r="D35" s="23">
        <f>'Resid Cust Fcst '!$I36*'Resid TSM UC Adj'!L35</f>
        <v>0</v>
      </c>
      <c r="E35" s="45">
        <f>IF(SUM(B35:D35)=0,0,SUM(B35:D35)/'Resid Cust Fcst '!I36)</f>
        <v>0</v>
      </c>
      <c r="F35" s="137">
        <f>'Resid Cust Fcst '!$J36*'Resid TSM UC Adj'!J35</f>
        <v>0</v>
      </c>
      <c r="G35" s="23">
        <f>'Resid Cust Fcst '!$J36*'Resid TSM UC Adj'!K35</f>
        <v>0</v>
      </c>
      <c r="H35" s="23">
        <f>'Resid Cust Fcst '!$J36*'Resid TSM UC Adj'!L35</f>
        <v>0</v>
      </c>
      <c r="I35" s="45">
        <f>IF(SUM(F35:H35)=0,0,SUM(F35:H35)/'Resid Cust Fcst '!J36)</f>
        <v>0</v>
      </c>
      <c r="J35" s="137">
        <f>'Resid Cust Fcst '!$K36*'Resid TSM UC Adj'!J35</f>
        <v>0</v>
      </c>
      <c r="K35" s="23">
        <f>'Resid Cust Fcst '!$K36*'Resid TSM UC Adj'!K35</f>
        <v>0</v>
      </c>
      <c r="L35" s="23">
        <f>'Resid Cust Fcst '!$K36*'Resid TSM UC Adj'!L35</f>
        <v>0</v>
      </c>
      <c r="M35" s="45">
        <f>IF(SUM(J35:L35)=0,0,SUM(J35:L35)/'Resid Cust Fcst '!K36)</f>
        <v>0</v>
      </c>
      <c r="N35" s="137">
        <f>'Resid Cust Fcst '!$L36*'Resid TSM UC Adj'!N35</f>
        <v>0</v>
      </c>
      <c r="O35" s="23">
        <f>'Resid Cust Fcst '!$L36*'Resid TSM UC Adj'!O35</f>
        <v>0</v>
      </c>
      <c r="P35" s="23">
        <f>'Resid Cust Fcst '!$L36*'Resid TSM UC Adj'!P35</f>
        <v>0</v>
      </c>
      <c r="Q35" s="45">
        <f>IF(SUM(N35:P35)=0,0,SUM(N35:P35)/'Resid Cust Fcst '!L36)</f>
        <v>0</v>
      </c>
      <c r="R35" s="137">
        <f t="shared" si="2"/>
        <v>0</v>
      </c>
      <c r="S35" s="23">
        <f t="shared" si="4"/>
        <v>0</v>
      </c>
      <c r="T35" s="23">
        <f t="shared" si="5"/>
        <v>0</v>
      </c>
      <c r="U35" s="45">
        <f>IF(SUM(R35:T35)=0,0,SUM(R35:T35)/'Resid Cust Fcst '!M36)</f>
        <v>0</v>
      </c>
      <c r="V35" s="137">
        <f>'Resid Cust Fcst '!$N36*'Resid TSM UC Adj'!R35</f>
        <v>0</v>
      </c>
      <c r="W35" s="23">
        <f>'Resid Cust Fcst '!$N36*'Resid TSM UC Adj'!S35</f>
        <v>0</v>
      </c>
      <c r="X35" s="23">
        <f>'Resid Cust Fcst '!$N36*'Resid TSM UC Adj'!T35</f>
        <v>0</v>
      </c>
      <c r="Y35" s="45">
        <f>IF(SUM(V35:X35)=0,0,SUM(V35:X35)/'Resid Cust Fcst '!N36)</f>
        <v>0</v>
      </c>
      <c r="Z35" s="137">
        <f t="shared" si="3"/>
        <v>0</v>
      </c>
      <c r="AA35" s="23">
        <f t="shared" si="6"/>
        <v>0</v>
      </c>
      <c r="AB35" s="23">
        <f t="shared" si="7"/>
        <v>0</v>
      </c>
      <c r="AC35" s="45">
        <f>IF(SUM(Z35:AB35)=0,0,SUM(Z35:AB35)/'Resid Cust Fcst '!O36)</f>
        <v>0</v>
      </c>
    </row>
    <row r="36" spans="1:29">
      <c r="A36" s="153" t="s">
        <v>26</v>
      </c>
      <c r="B36" s="137">
        <f>'Resid Cust Fcst '!$I37*'Resid TSM UC Adj'!J36</f>
        <v>0</v>
      </c>
      <c r="C36" s="23">
        <f>'Resid Cust Fcst '!$I37*'Resid TSM UC Adj'!K36</f>
        <v>0</v>
      </c>
      <c r="D36" s="23">
        <f>'Resid Cust Fcst '!$I37*'Resid TSM UC Adj'!L36</f>
        <v>0</v>
      </c>
      <c r="E36" s="45">
        <f>IF(SUM(B36:D36)=0,0,SUM(B36:D36)/'Resid Cust Fcst '!I37)</f>
        <v>0</v>
      </c>
      <c r="F36" s="137">
        <f>'Resid Cust Fcst '!$J37*'Resid TSM UC Adj'!J36</f>
        <v>0</v>
      </c>
      <c r="G36" s="23">
        <f>'Resid Cust Fcst '!$J37*'Resid TSM UC Adj'!K36</f>
        <v>0</v>
      </c>
      <c r="H36" s="23">
        <f>'Resid Cust Fcst '!$J37*'Resid TSM UC Adj'!L36</f>
        <v>0</v>
      </c>
      <c r="I36" s="45">
        <f>IF(SUM(F36:H36)=0,0,SUM(F36:H36)/'Resid Cust Fcst '!J37)</f>
        <v>0</v>
      </c>
      <c r="J36" s="137">
        <f>'Resid Cust Fcst '!$K37*'Resid TSM UC Adj'!J36</f>
        <v>0</v>
      </c>
      <c r="K36" s="23">
        <f>'Resid Cust Fcst '!$K37*'Resid TSM UC Adj'!K36</f>
        <v>0</v>
      </c>
      <c r="L36" s="23">
        <f>'Resid Cust Fcst '!$K37*'Resid TSM UC Adj'!L36</f>
        <v>0</v>
      </c>
      <c r="M36" s="45">
        <f>IF(SUM(J36:L36)=0,0,SUM(J36:L36)/'Resid Cust Fcst '!K37)</f>
        <v>0</v>
      </c>
      <c r="N36" s="137">
        <f>'Resid Cust Fcst '!$L37*'Resid TSM UC Adj'!N36</f>
        <v>0</v>
      </c>
      <c r="O36" s="23">
        <f>'Resid Cust Fcst '!$L37*'Resid TSM UC Adj'!O36</f>
        <v>0</v>
      </c>
      <c r="P36" s="23">
        <f>'Resid Cust Fcst '!$L37*'Resid TSM UC Adj'!P36</f>
        <v>0</v>
      </c>
      <c r="Q36" s="45">
        <f>IF(SUM(N36:P36)=0,0,SUM(N36:P36)/'Resid Cust Fcst '!L37)</f>
        <v>0</v>
      </c>
      <c r="R36" s="137">
        <f t="shared" si="2"/>
        <v>0</v>
      </c>
      <c r="S36" s="23">
        <f t="shared" si="4"/>
        <v>0</v>
      </c>
      <c r="T36" s="23">
        <f t="shared" si="5"/>
        <v>0</v>
      </c>
      <c r="U36" s="45">
        <f>IF(SUM(R36:T36)=0,0,SUM(R36:T36)/'Resid Cust Fcst '!M37)</f>
        <v>0</v>
      </c>
      <c r="V36" s="137">
        <f>'Resid Cust Fcst '!$N37*'Resid TSM UC Adj'!R36</f>
        <v>0</v>
      </c>
      <c r="W36" s="23">
        <f>'Resid Cust Fcst '!$N37*'Resid TSM UC Adj'!S36</f>
        <v>0</v>
      </c>
      <c r="X36" s="23">
        <f>'Resid Cust Fcst '!$N37*'Resid TSM UC Adj'!T36</f>
        <v>0</v>
      </c>
      <c r="Y36" s="45">
        <f>IF(SUM(V36:X36)=0,0,SUM(V36:X36)/'Resid Cust Fcst '!N37)</f>
        <v>0</v>
      </c>
      <c r="Z36" s="137">
        <f t="shared" si="3"/>
        <v>0</v>
      </c>
      <c r="AA36" s="23">
        <f t="shared" si="6"/>
        <v>0</v>
      </c>
      <c r="AB36" s="23">
        <f t="shared" si="7"/>
        <v>0</v>
      </c>
      <c r="AC36" s="45">
        <f>IF(SUM(Z36:AB36)=0,0,SUM(Z36:AB36)/'Resid Cust Fcst '!O37)</f>
        <v>0</v>
      </c>
    </row>
    <row r="37" spans="1:29">
      <c r="A37" s="153" t="s">
        <v>27</v>
      </c>
      <c r="B37" s="137">
        <f>'Resid Cust Fcst '!$I38*'Resid TSM UC Adj'!J37</f>
        <v>0</v>
      </c>
      <c r="C37" s="23">
        <f>'Resid Cust Fcst '!$I38*'Resid TSM UC Adj'!K37</f>
        <v>0</v>
      </c>
      <c r="D37" s="23">
        <f>'Resid Cust Fcst '!$I38*'Resid TSM UC Adj'!L37</f>
        <v>0</v>
      </c>
      <c r="E37" s="45">
        <f>IF(SUM(B37:D37)=0,0,SUM(B37:D37)/'Resid Cust Fcst '!I38)</f>
        <v>0</v>
      </c>
      <c r="F37" s="137">
        <f>'Resid Cust Fcst '!$J38*'Resid TSM UC Adj'!J37</f>
        <v>0</v>
      </c>
      <c r="G37" s="23">
        <f>'Resid Cust Fcst '!$J38*'Resid TSM UC Adj'!K37</f>
        <v>0</v>
      </c>
      <c r="H37" s="23">
        <f>'Resid Cust Fcst '!$J38*'Resid TSM UC Adj'!L37</f>
        <v>0</v>
      </c>
      <c r="I37" s="45">
        <f>IF(SUM(F37:H37)=0,0,SUM(F37:H37)/'Resid Cust Fcst '!J38)</f>
        <v>0</v>
      </c>
      <c r="J37" s="137">
        <f>'Resid Cust Fcst '!$K38*'Resid TSM UC Adj'!J37</f>
        <v>0</v>
      </c>
      <c r="K37" s="23">
        <f>'Resid Cust Fcst '!$K38*'Resid TSM UC Adj'!K37</f>
        <v>0</v>
      </c>
      <c r="L37" s="23">
        <f>'Resid Cust Fcst '!$K38*'Resid TSM UC Adj'!L37</f>
        <v>0</v>
      </c>
      <c r="M37" s="45">
        <f>IF(SUM(J37:L37)=0,0,SUM(J37:L37)/'Resid Cust Fcst '!K38)</f>
        <v>0</v>
      </c>
      <c r="N37" s="137">
        <f>'Resid Cust Fcst '!$L38*'Resid TSM UC Adj'!N37</f>
        <v>0</v>
      </c>
      <c r="O37" s="23">
        <f>'Resid Cust Fcst '!$L38*'Resid TSM UC Adj'!O37</f>
        <v>0</v>
      </c>
      <c r="P37" s="23">
        <f>'Resid Cust Fcst '!$L38*'Resid TSM UC Adj'!P37</f>
        <v>0</v>
      </c>
      <c r="Q37" s="45">
        <f>IF(SUM(N37:P37)=0,0,SUM(N37:P37)/'Resid Cust Fcst '!L38)</f>
        <v>0</v>
      </c>
      <c r="R37" s="137">
        <f t="shared" si="2"/>
        <v>0</v>
      </c>
      <c r="S37" s="23">
        <f t="shared" si="4"/>
        <v>0</v>
      </c>
      <c r="T37" s="23">
        <f t="shared" si="5"/>
        <v>0</v>
      </c>
      <c r="U37" s="45">
        <f>IF(SUM(R37:T37)=0,0,SUM(R37:T37)/'Resid Cust Fcst '!M38)</f>
        <v>0</v>
      </c>
      <c r="V37" s="137">
        <f>'Resid Cust Fcst '!$N38*'Resid TSM UC Adj'!R37</f>
        <v>0</v>
      </c>
      <c r="W37" s="23">
        <f>'Resid Cust Fcst '!$N38*'Resid TSM UC Adj'!S37</f>
        <v>0</v>
      </c>
      <c r="X37" s="23">
        <f>'Resid Cust Fcst '!$N38*'Resid TSM UC Adj'!T37</f>
        <v>0</v>
      </c>
      <c r="Y37" s="45">
        <f>IF(SUM(V37:X37)=0,0,SUM(V37:X37)/'Resid Cust Fcst '!N38)</f>
        <v>0</v>
      </c>
      <c r="Z37" s="137">
        <f t="shared" si="3"/>
        <v>0</v>
      </c>
      <c r="AA37" s="23">
        <f t="shared" si="6"/>
        <v>0</v>
      </c>
      <c r="AB37" s="23">
        <f t="shared" si="7"/>
        <v>0</v>
      </c>
      <c r="AC37" s="45">
        <f>IF(SUM(Z37:AB37)=0,0,SUM(Z37:AB37)/'Resid Cust Fcst '!O38)</f>
        <v>0</v>
      </c>
    </row>
    <row r="38" spans="1:29" ht="13.5" thickBot="1">
      <c r="A38" s="156"/>
      <c r="B38" s="137"/>
      <c r="C38" s="23"/>
      <c r="D38" s="23"/>
      <c r="E38" s="45"/>
      <c r="F38" s="137"/>
      <c r="G38" s="23"/>
      <c r="H38" s="23"/>
      <c r="I38" s="45"/>
      <c r="J38" s="137"/>
      <c r="K38" s="23"/>
      <c r="L38" s="23"/>
      <c r="M38" s="45"/>
      <c r="N38" s="137"/>
      <c r="O38" s="23"/>
      <c r="P38" s="23"/>
      <c r="Q38" s="45"/>
      <c r="R38" s="244"/>
      <c r="S38" s="240"/>
      <c r="T38" s="240"/>
      <c r="U38" s="249"/>
      <c r="V38" s="137"/>
      <c r="W38" s="23"/>
      <c r="X38" s="23"/>
      <c r="Y38" s="45"/>
      <c r="Z38" s="137"/>
      <c r="AA38" s="23"/>
      <c r="AB38" s="23"/>
      <c r="AC38" s="45"/>
    </row>
    <row r="39" spans="1:29" ht="13.5" thickBot="1">
      <c r="A39" s="280" t="s">
        <v>2</v>
      </c>
      <c r="B39" s="317">
        <f>IF(SUM(B7:B37)=0,0,SUM(B7:B37)/'Resid Cust Fcst '!$I$40)</f>
        <v>480.87175638892131</v>
      </c>
      <c r="C39" s="318">
        <f>IF(SUM(C7:C37)=0,0,SUM(C7:C37)/'Resid Cust Fcst '!$I$40)</f>
        <v>150.69420628796806</v>
      </c>
      <c r="D39" s="318">
        <f>IF(SUM(D7:D37)=0,0,SUM(D7:D37)/'Resid Cust Fcst '!$I$40)</f>
        <v>246.24333484162898</v>
      </c>
      <c r="E39" s="319">
        <f>SUM(B39:D39)</f>
        <v>877.80929751851841</v>
      </c>
      <c r="F39" s="317">
        <f>IF(SUM(F7:F37)=0,0,SUM(F7:F37)/'Resid Cust Fcst '!$J$40)</f>
        <v>1741.660489586277</v>
      </c>
      <c r="G39" s="318">
        <f>IF(SUM(G7:G37)=0,0,SUM(G7:G37)/'Resid Cust Fcst '!$J$40)</f>
        <v>955.35707299142143</v>
      </c>
      <c r="H39" s="318">
        <f>IF(SUM(H7:H37)=0,0,SUM(H7:H37)/'Resid Cust Fcst '!$J$40)</f>
        <v>373.18</v>
      </c>
      <c r="I39" s="319">
        <f>SUM(F39:H39)</f>
        <v>3070.1975625776981</v>
      </c>
      <c r="J39" s="317">
        <f>IF(SUM(J7:J37)=0,0,SUM(J7:J37)/'Resid Cust Fcst '!$K$40)</f>
        <v>1341.7095671612124</v>
      </c>
      <c r="K39" s="318">
        <f>IF(SUM(K7:K37)=0,0,SUM(K7:K37)/'Resid Cust Fcst '!$K$40)</f>
        <v>1471.8707803855716</v>
      </c>
      <c r="L39" s="318">
        <f>IF(SUM(L7:L37)=0,0,SUM(L7:L37)/'Resid Cust Fcst '!$K$40)</f>
        <v>373.18000000000006</v>
      </c>
      <c r="M39" s="319">
        <f>SUM(J39:L39)</f>
        <v>3186.760347546784</v>
      </c>
      <c r="N39" s="317">
        <f>IF(SUM(N7:N37)=0,0,SUM(N7:N37)/'Resid Cust Fcst '!$L$40)</f>
        <v>1711.248584020168</v>
      </c>
      <c r="O39" s="318">
        <f>IF(SUM(O7:O37)=0,0,SUM(O7:O37)/'Resid Cust Fcst '!$L$40)</f>
        <v>1156.5714159798322</v>
      </c>
      <c r="P39" s="318">
        <f>IF(SUM(P7:P37)=0,0,SUM(P7:P37)/'Resid Cust Fcst '!$L$40)</f>
        <v>373.18</v>
      </c>
      <c r="Q39" s="319">
        <f>SUM(N39:P39)</f>
        <v>3241</v>
      </c>
      <c r="R39" s="317">
        <f>IF(SUM(R7:R37)=0,0,SUM(R7:R37)/'Resid Cust Fcst '!$M$40)</f>
        <v>491.82547041343759</v>
      </c>
      <c r="S39" s="318">
        <f>IF(SUM(S7:S37)=0,0,SUM(S7:S37)/'Resid Cust Fcst '!$M$40)</f>
        <v>164.14016130030018</v>
      </c>
      <c r="T39" s="318">
        <f>IF(SUM(T7:T37)=0,0,SUM(T7:T37)/'Resid Cust Fcst '!$M$40)</f>
        <v>247.68061826374802</v>
      </c>
      <c r="U39" s="319">
        <f>SUM(R39:T39)</f>
        <v>903.64624997748581</v>
      </c>
      <c r="V39" s="317">
        <f>IF(SUM(V7:V37)=0,0,SUM(V7:V37)/'Resid Cust Fcst '!$N$40)</f>
        <v>0</v>
      </c>
      <c r="W39" s="318">
        <f>IF(SUM(W7:W37)=0,0,SUM(W7:W37)/'Resid Cust Fcst '!$N$40)</f>
        <v>2227.96</v>
      </c>
      <c r="X39" s="318">
        <f>IF(SUM(X7:X37)=0,0,SUM(X7:X37)/'Resid Cust Fcst '!$N$40)</f>
        <v>1013.04</v>
      </c>
      <c r="Y39" s="319">
        <f>SUM(V39:X39)</f>
        <v>3241</v>
      </c>
      <c r="Z39" s="317">
        <f>IF(SUM(Z7:Z37)=0,0,SUM(Z7:Z37)/'Resid Cust Fcst '!$O$40)</f>
        <v>491.68968204501863</v>
      </c>
      <c r="AA39" s="318">
        <f>IF(SUM(AA7:AA37)=0,0,SUM(AA7:AA37)/'Resid Cust Fcst '!$O$40)</f>
        <v>164.70996247056519</v>
      </c>
      <c r="AB39" s="318">
        <f>IF(SUM(AB7:AB37)=0,0,SUM(AB7:AB37)/'Resid Cust Fcst '!$O$40)</f>
        <v>247.89192676229473</v>
      </c>
      <c r="AC39" s="319">
        <f>SUM(Z39:AB39)</f>
        <v>904.29157127787846</v>
      </c>
    </row>
    <row r="40" spans="1:29">
      <c r="A40" s="55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</row>
    <row r="41" spans="1:29">
      <c r="A41" s="340" t="s">
        <v>102</v>
      </c>
      <c r="B41" s="18"/>
      <c r="C41" s="18"/>
      <c r="D41" s="18"/>
      <c r="E41" s="23">
        <f>IF(SUM(B7:D37)=0,0,SUM(B7:D37)/'Resid Cust Fcst '!I40)-E39</f>
        <v>0</v>
      </c>
      <c r="F41" s="18"/>
      <c r="G41" s="18"/>
      <c r="H41" s="18"/>
      <c r="I41" s="23">
        <f>IF(SUM(F7:H37)=0,0,SUM(F7:H37)/'Resid Cust Fcst '!J40)-I39</f>
        <v>0</v>
      </c>
      <c r="J41" s="18"/>
      <c r="K41" s="18"/>
      <c r="L41" s="18"/>
      <c r="M41" s="23">
        <f>IF(SUM(J7:L37)=0,0,SUM(J7:L37)/'Resid Cust Fcst '!K40)-M39</f>
        <v>0</v>
      </c>
      <c r="N41" s="18"/>
      <c r="O41" s="18"/>
      <c r="P41" s="18"/>
      <c r="Q41" s="23">
        <f>IF(SUM(N7:P37)=0,0,SUM(N7:P37)/'Resid Cust Fcst '!L40)-Q39</f>
        <v>0</v>
      </c>
      <c r="R41" s="18"/>
      <c r="S41" s="18"/>
      <c r="T41" s="18"/>
      <c r="U41" s="23">
        <f>IF(SUM(R7:T37)=0,0,SUM(R7:T37)/'Resid Cust Fcst '!M40)-U39</f>
        <v>0</v>
      </c>
      <c r="V41" s="18"/>
      <c r="W41" s="18"/>
      <c r="X41" s="18"/>
      <c r="Y41" s="23">
        <f>IF(SUM(V7:X37)=0,0,SUM(V7:X37)/'Resid Cust Fcst '!N40)-Y39</f>
        <v>0</v>
      </c>
      <c r="Z41" s="18"/>
      <c r="AA41" s="18"/>
      <c r="AB41" s="18"/>
      <c r="AC41" s="23">
        <f>IF(SUM(Z7:AB37)=0,0,SUM(Z7:AB37)/'Resid Cust Fcst '!O40)-AC39</f>
        <v>0</v>
      </c>
    </row>
    <row r="42" spans="1:29">
      <c r="N42" s="56"/>
      <c r="O42" s="56"/>
      <c r="P42" s="56"/>
    </row>
    <row r="43" spans="1:29">
      <c r="N43" s="56"/>
      <c r="O43" s="56"/>
      <c r="P43" s="56"/>
    </row>
    <row r="44" spans="1:29">
      <c r="A44" s="19"/>
      <c r="N44" s="18"/>
      <c r="O44" s="18"/>
      <c r="P44" s="18"/>
    </row>
    <row r="56" spans="1:1">
      <c r="A56" s="19"/>
    </row>
  </sheetData>
  <mergeCells count="9">
    <mergeCell ref="A1:Y1"/>
    <mergeCell ref="B2:U2"/>
    <mergeCell ref="V2:Y2"/>
    <mergeCell ref="Z2:AC2"/>
    <mergeCell ref="B3:E3"/>
    <mergeCell ref="F3:I3"/>
    <mergeCell ref="J3:M3"/>
    <mergeCell ref="N3:Q3"/>
    <mergeCell ref="R3:U3"/>
  </mergeCells>
  <printOptions horizontalCentered="1"/>
  <pageMargins left="0.75" right="0.75" top="1" bottom="1" header="0.5" footer="0.5"/>
  <pageSetup scale="39" orientation="portrait" r:id="rId1"/>
  <headerFooter alignWithMargins="0">
    <oddFooter>&amp;L&amp;F
&amp;A&amp;R&amp;P of &amp;N</oddFooter>
  </headerFooter>
  <colBreaks count="1" manualBreakCount="1">
    <brk id="13" max="38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0">
    <tabColor rgb="FFC00000"/>
  </sheetPr>
  <dimension ref="A1:AC56"/>
  <sheetViews>
    <sheetView zoomScaleNormal="100" workbookViewId="0">
      <selection activeCell="B17" sqref="B17"/>
    </sheetView>
  </sheetViews>
  <sheetFormatPr defaultRowHeight="12.75"/>
  <cols>
    <col min="1" max="1" width="39" customWidth="1"/>
    <col min="2" max="2" width="12.85546875" bestFit="1" customWidth="1"/>
    <col min="3" max="3" width="11.28515625" bestFit="1" customWidth="1"/>
    <col min="4" max="4" width="12.28515625" bestFit="1" customWidth="1"/>
    <col min="5" max="5" width="9.28515625" bestFit="1" customWidth="1"/>
    <col min="6" max="6" width="12.85546875" bestFit="1" customWidth="1"/>
    <col min="7" max="7" width="11.28515625" bestFit="1" customWidth="1"/>
    <col min="8" max="8" width="10.28515625" bestFit="1" customWidth="1"/>
    <col min="9" max="9" width="11.28515625" bestFit="1" customWidth="1"/>
    <col min="10" max="10" width="12.85546875" customWidth="1"/>
    <col min="11" max="11" width="12.28515625" customWidth="1"/>
    <col min="12" max="12" width="12.28515625" bestFit="1" customWidth="1"/>
    <col min="13" max="13" width="10.28515625" bestFit="1" customWidth="1"/>
    <col min="14" max="14" width="12.85546875" customWidth="1"/>
    <col min="15" max="15" width="10" customWidth="1"/>
    <col min="16" max="17" width="10.28515625" bestFit="1" customWidth="1"/>
    <col min="18" max="18" width="12.85546875" bestFit="1" customWidth="1"/>
    <col min="19" max="20" width="12.28515625" bestFit="1" customWidth="1"/>
    <col min="21" max="21" width="11.28515625" bestFit="1" customWidth="1"/>
    <col min="22" max="22" width="12.85546875" bestFit="1" customWidth="1"/>
    <col min="23" max="25" width="10.28515625" customWidth="1"/>
    <col min="26" max="29" width="13.85546875" customWidth="1"/>
  </cols>
  <sheetData>
    <row r="1" spans="1:29" ht="18.75" thickBot="1">
      <c r="A1" s="841" t="s">
        <v>94</v>
      </c>
      <c r="B1" s="841"/>
      <c r="C1" s="841"/>
      <c r="D1" s="841"/>
      <c r="E1" s="841"/>
      <c r="F1" s="841"/>
      <c r="G1" s="841"/>
      <c r="H1" s="841"/>
      <c r="I1" s="841"/>
      <c r="J1" s="841"/>
      <c r="K1" s="841"/>
      <c r="L1" s="841"/>
      <c r="M1" s="841"/>
      <c r="N1" s="841"/>
      <c r="O1" s="841"/>
      <c r="P1" s="841"/>
      <c r="Q1" s="841"/>
      <c r="R1" s="841"/>
      <c r="S1" s="841"/>
      <c r="T1" s="841"/>
      <c r="U1" s="841"/>
      <c r="V1" s="841"/>
      <c r="W1" s="841"/>
      <c r="X1" s="841"/>
      <c r="Y1" s="841"/>
    </row>
    <row r="2" spans="1:29" ht="13.5" thickBot="1">
      <c r="A2" s="131"/>
      <c r="B2" s="834" t="s">
        <v>132</v>
      </c>
      <c r="C2" s="835"/>
      <c r="D2" s="835"/>
      <c r="E2" s="835"/>
      <c r="F2" s="835"/>
      <c r="G2" s="835"/>
      <c r="H2" s="835"/>
      <c r="I2" s="835"/>
      <c r="J2" s="835"/>
      <c r="K2" s="835"/>
      <c r="L2" s="835"/>
      <c r="M2" s="835"/>
      <c r="N2" s="835"/>
      <c r="O2" s="835"/>
      <c r="P2" s="835"/>
      <c r="Q2" s="835"/>
      <c r="R2" s="835"/>
      <c r="S2" s="835"/>
      <c r="T2" s="835"/>
      <c r="U2" s="837"/>
      <c r="V2" s="834" t="s">
        <v>133</v>
      </c>
      <c r="W2" s="835"/>
      <c r="X2" s="835"/>
      <c r="Y2" s="837"/>
      <c r="Z2" s="834" t="s">
        <v>148</v>
      </c>
      <c r="AA2" s="835"/>
      <c r="AB2" s="835"/>
      <c r="AC2" s="837"/>
    </row>
    <row r="3" spans="1:29">
      <c r="A3" s="196"/>
      <c r="B3" s="842" t="s">
        <v>127</v>
      </c>
      <c r="C3" s="843"/>
      <c r="D3" s="843"/>
      <c r="E3" s="844"/>
      <c r="F3" s="842" t="s">
        <v>114</v>
      </c>
      <c r="G3" s="843"/>
      <c r="H3" s="843"/>
      <c r="I3" s="844"/>
      <c r="J3" s="842" t="s">
        <v>115</v>
      </c>
      <c r="K3" s="843"/>
      <c r="L3" s="843"/>
      <c r="M3" s="844"/>
      <c r="N3" s="842" t="s">
        <v>113</v>
      </c>
      <c r="O3" s="843"/>
      <c r="P3" s="843"/>
      <c r="Q3" s="844"/>
      <c r="R3" s="836" t="s">
        <v>138</v>
      </c>
      <c r="S3" s="843"/>
      <c r="T3" s="843"/>
      <c r="U3" s="844"/>
      <c r="V3" s="345"/>
      <c r="W3" s="346"/>
      <c r="X3" s="346"/>
      <c r="Y3" s="347"/>
      <c r="Z3" s="345"/>
      <c r="AA3" s="346"/>
      <c r="AB3" s="346"/>
      <c r="AC3" s="347"/>
    </row>
    <row r="4" spans="1:29" ht="13.5" thickBot="1">
      <c r="A4" s="102" t="s">
        <v>4</v>
      </c>
      <c r="B4" s="348" t="s">
        <v>36</v>
      </c>
      <c r="C4" s="349" t="s">
        <v>37</v>
      </c>
      <c r="D4" s="349" t="s">
        <v>38</v>
      </c>
      <c r="E4" s="350" t="s">
        <v>41</v>
      </c>
      <c r="F4" s="348" t="s">
        <v>36</v>
      </c>
      <c r="G4" s="349" t="s">
        <v>37</v>
      </c>
      <c r="H4" s="349" t="s">
        <v>38</v>
      </c>
      <c r="I4" s="350" t="s">
        <v>41</v>
      </c>
      <c r="J4" s="348" t="s">
        <v>36</v>
      </c>
      <c r="K4" s="349" t="s">
        <v>37</v>
      </c>
      <c r="L4" s="349" t="s">
        <v>40</v>
      </c>
      <c r="M4" s="350" t="s">
        <v>41</v>
      </c>
      <c r="N4" s="348" t="s">
        <v>36</v>
      </c>
      <c r="O4" s="349" t="s">
        <v>37</v>
      </c>
      <c r="P4" s="349" t="s">
        <v>40</v>
      </c>
      <c r="Q4" s="350" t="s">
        <v>41</v>
      </c>
      <c r="R4" s="348" t="s">
        <v>36</v>
      </c>
      <c r="S4" s="349" t="s">
        <v>37</v>
      </c>
      <c r="T4" s="349" t="s">
        <v>38</v>
      </c>
      <c r="U4" s="350" t="s">
        <v>41</v>
      </c>
      <c r="V4" s="348" t="s">
        <v>36</v>
      </c>
      <c r="W4" s="349" t="s">
        <v>37</v>
      </c>
      <c r="X4" s="349" t="s">
        <v>40</v>
      </c>
      <c r="Y4" s="350" t="s">
        <v>41</v>
      </c>
      <c r="Z4" s="348" t="s">
        <v>36</v>
      </c>
      <c r="AA4" s="349" t="s">
        <v>37</v>
      </c>
      <c r="AB4" s="349" t="s">
        <v>40</v>
      </c>
      <c r="AC4" s="350" t="s">
        <v>41</v>
      </c>
    </row>
    <row r="5" spans="1:29">
      <c r="A5" s="133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5" t="s">
        <v>42</v>
      </c>
      <c r="K5" s="6" t="s">
        <v>42</v>
      </c>
      <c r="L5" s="6" t="s">
        <v>42</v>
      </c>
      <c r="M5" s="7" t="s">
        <v>43</v>
      </c>
      <c r="N5" s="5" t="s">
        <v>42</v>
      </c>
      <c r="O5" s="6" t="s">
        <v>42</v>
      </c>
      <c r="P5" s="6" t="s">
        <v>42</v>
      </c>
      <c r="Q5" s="7" t="s">
        <v>43</v>
      </c>
      <c r="R5" s="5" t="s">
        <v>42</v>
      </c>
      <c r="S5" s="6" t="s">
        <v>42</v>
      </c>
      <c r="T5" s="6" t="s">
        <v>42</v>
      </c>
      <c r="U5" s="7" t="s">
        <v>43</v>
      </c>
      <c r="V5" s="132" t="s">
        <v>42</v>
      </c>
      <c r="W5" s="8" t="s">
        <v>42</v>
      </c>
      <c r="X5" s="8" t="s">
        <v>42</v>
      </c>
      <c r="Y5" s="9" t="s">
        <v>43</v>
      </c>
      <c r="Z5" s="132" t="s">
        <v>42</v>
      </c>
      <c r="AA5" s="8" t="s">
        <v>42</v>
      </c>
      <c r="AB5" s="8" t="s">
        <v>42</v>
      </c>
      <c r="AC5" s="9" t="s">
        <v>43</v>
      </c>
    </row>
    <row r="6" spans="1:29">
      <c r="A6" s="112"/>
      <c r="B6" s="132"/>
      <c r="C6" s="8"/>
      <c r="D6" s="8"/>
      <c r="E6" s="9"/>
      <c r="F6" s="132"/>
      <c r="G6" s="8"/>
      <c r="H6" s="8"/>
      <c r="I6" s="9"/>
      <c r="J6" s="132"/>
      <c r="K6" s="8"/>
      <c r="L6" s="8"/>
      <c r="M6" s="9"/>
      <c r="N6" s="132"/>
      <c r="O6" s="8"/>
      <c r="P6" s="8"/>
      <c r="Q6" s="9"/>
      <c r="R6" s="132"/>
      <c r="S6" s="8"/>
      <c r="T6" s="8"/>
      <c r="U6" s="9"/>
      <c r="V6" s="132"/>
      <c r="W6" s="8"/>
      <c r="X6" s="8"/>
      <c r="Y6" s="9"/>
      <c r="Z6" s="132"/>
      <c r="AA6" s="8"/>
      <c r="AB6" s="8"/>
      <c r="AC6" s="9"/>
    </row>
    <row r="7" spans="1:29">
      <c r="A7" s="153" t="s">
        <v>5</v>
      </c>
      <c r="B7" s="137">
        <f>'Resid Cust Fcst '!$P8*'Resid TSM UC Adj'!B7</f>
        <v>4417.038867727344</v>
      </c>
      <c r="C7" s="23">
        <f>'Resid Cust Fcst '!$P8*'Resid TSM UC Adj'!C7</f>
        <v>2496.834378119428</v>
      </c>
      <c r="D7" s="23">
        <f>'Resid Cust Fcst '!$P8*'Resid TSM UC Adj'!D7</f>
        <v>4432.380027149321</v>
      </c>
      <c r="E7" s="45">
        <f>IF(SUM(B7:D7)=0,0,SUM(B7:D7)/'Resid Cust Fcst '!P8)</f>
        <v>630.34740405533853</v>
      </c>
      <c r="F7" s="137">
        <f>'Resid Cust Fcst '!$Q8*'Resid TSM UC Adj'!F7</f>
        <v>0</v>
      </c>
      <c r="G7" s="23">
        <f>'Resid Cust Fcst '!$Q8*'Resid TSM UC Adj'!G7</f>
        <v>0</v>
      </c>
      <c r="H7" s="23">
        <f>'Resid Cust Fcst '!$Q8*'Resid TSM UC Adj'!H7</f>
        <v>0</v>
      </c>
      <c r="I7" s="45">
        <f>IF(SUM(F7:H7)=0,0,SUM(F7:H7)/'Resid Cust Fcst '!Q8)</f>
        <v>0</v>
      </c>
      <c r="J7" s="137">
        <f>'Resid Cust Fcst '!$R8*'Resid TSM UC Adj'!J7</f>
        <v>0</v>
      </c>
      <c r="K7" s="23">
        <f>'Resid Cust Fcst '!$R8*'Resid TSM UC Adj'!K7</f>
        <v>0</v>
      </c>
      <c r="L7" s="23">
        <f>'Resid Cust Fcst '!$R8*'Resid TSM UC Adj'!L7</f>
        <v>0</v>
      </c>
      <c r="M7" s="45">
        <f>IF(SUM(J7:L7)=0,0,SUM(J7:L7)/'Resid Cust Fcst '!R8)</f>
        <v>0</v>
      </c>
      <c r="N7" s="137">
        <f>'Resid Cust Fcst '!$S8*'Resid TSM UC Adj'!N7</f>
        <v>0</v>
      </c>
      <c r="O7" s="23">
        <f>'Resid Cust Fcst '!$S8*'Resid TSM UC Adj'!O7</f>
        <v>0</v>
      </c>
      <c r="P7" s="23">
        <f>'Resid Cust Fcst '!$S8*'Resid TSM UC Adj'!P7</f>
        <v>0</v>
      </c>
      <c r="Q7" s="45">
        <f>IF(SUM(N7:P7)=0,0,SUM(N7:P7)/'Resid Cust Fcst '!S8)</f>
        <v>0</v>
      </c>
      <c r="R7" s="137">
        <f>B7+F7+J7+N7</f>
        <v>4417.038867727344</v>
      </c>
      <c r="S7" s="23">
        <f t="shared" ref="S7:T22" si="0">C7+G7+K7+O7</f>
        <v>2496.834378119428</v>
      </c>
      <c r="T7" s="23">
        <f t="shared" si="0"/>
        <v>4432.380027149321</v>
      </c>
      <c r="U7" s="45">
        <f>IF(SUM(R7:T7)=0,0,SUM(R7:T7)/'Resid Cust Fcst '!T8)</f>
        <v>630.34740405533853</v>
      </c>
      <c r="V7" s="137">
        <f>'Resid Cust Fcst '!$U8*'Resid TSM UC Adj'!R7</f>
        <v>0</v>
      </c>
      <c r="W7" s="23">
        <f>'Resid Cust Fcst '!$U8*'Resid TSM UC Adj'!S7</f>
        <v>0</v>
      </c>
      <c r="X7" s="23">
        <f>'Resid Cust Fcst '!$U8*'Resid TSM UC Adj'!T7</f>
        <v>0</v>
      </c>
      <c r="Y7" s="45">
        <f>IF(SUM(V7:X7)=0,0,SUM(V7:X7)/'Resid Cust Fcst '!U8)</f>
        <v>0</v>
      </c>
      <c r="Z7" s="137">
        <f>R7+V7</f>
        <v>4417.038867727344</v>
      </c>
      <c r="AA7" s="23">
        <f t="shared" ref="AA7:AB22" si="1">S7+W7</f>
        <v>2496.834378119428</v>
      </c>
      <c r="AB7" s="23">
        <f t="shared" si="1"/>
        <v>4432.380027149321</v>
      </c>
      <c r="AC7" s="45">
        <f>IF(SUM(Z7:AB7)=0,0,SUM(Z7:AB7)/'Resid Cust Fcst '!V8)</f>
        <v>630.34740405533853</v>
      </c>
    </row>
    <row r="8" spans="1:29">
      <c r="A8" s="155" t="s">
        <v>6</v>
      </c>
      <c r="B8" s="137">
        <f>'Resid Cust Fcst '!$P9*'Resid TSM UC Adj'!B8</f>
        <v>60155.86267476288</v>
      </c>
      <c r="C8" s="23">
        <f>'Resid Cust Fcst '!$P9*'Resid TSM UC Adj'!C8</f>
        <v>10819.615638517522</v>
      </c>
      <c r="D8" s="23">
        <f>'Resid Cust Fcst '!$P9*'Resid TSM UC Adj'!D8</f>
        <v>19206.980117647057</v>
      </c>
      <c r="E8" s="45">
        <f>IF(SUM(B8:D8)=0,0,SUM(B8:D8)/'Resid Cust Fcst '!P9)</f>
        <v>1156.1853644990699</v>
      </c>
      <c r="F8" s="137">
        <f>'Resid Cust Fcst '!$Q9*'Resid TSM UC Adj'!F8</f>
        <v>0</v>
      </c>
      <c r="G8" s="23">
        <f>'Resid Cust Fcst '!$Q9*'Resid TSM UC Adj'!G8</f>
        <v>0</v>
      </c>
      <c r="H8" s="23">
        <f>'Resid Cust Fcst '!$Q9*'Resid TSM UC Adj'!H8</f>
        <v>0</v>
      </c>
      <c r="I8" s="45">
        <f>IF(SUM(F8:H8)=0,0,SUM(F8:H8)/'Resid Cust Fcst '!Q9)</f>
        <v>0</v>
      </c>
      <c r="J8" s="137">
        <f>'Resid Cust Fcst '!$R9*'Resid TSM UC Adj'!J8</f>
        <v>0</v>
      </c>
      <c r="K8" s="23">
        <f>'Resid Cust Fcst '!$R9*'Resid TSM UC Adj'!K8</f>
        <v>0</v>
      </c>
      <c r="L8" s="23">
        <f>'Resid Cust Fcst '!$R9*'Resid TSM UC Adj'!L8</f>
        <v>0</v>
      </c>
      <c r="M8" s="45">
        <f>IF(SUM(J8:L8)=0,0,SUM(J8:L8)/'Resid Cust Fcst '!R9)</f>
        <v>0</v>
      </c>
      <c r="N8" s="137">
        <f>'Resid Cust Fcst '!$S9*'Resid TSM UC Adj'!N8</f>
        <v>0</v>
      </c>
      <c r="O8" s="23">
        <f>'Resid Cust Fcst '!$S9*'Resid TSM UC Adj'!O8</f>
        <v>0</v>
      </c>
      <c r="P8" s="23">
        <f>'Resid Cust Fcst '!$S9*'Resid TSM UC Adj'!P8</f>
        <v>0</v>
      </c>
      <c r="Q8" s="45">
        <f>IF(SUM(N8:P8)=0,0,SUM(N8:P8)/'Resid Cust Fcst '!S9)</f>
        <v>0</v>
      </c>
      <c r="R8" s="137">
        <f t="shared" ref="R8:R37" si="2">B8+F8+J8+N8</f>
        <v>60155.86267476288</v>
      </c>
      <c r="S8" s="23">
        <f t="shared" si="0"/>
        <v>10819.615638517522</v>
      </c>
      <c r="T8" s="23">
        <f t="shared" si="0"/>
        <v>19206.980117647057</v>
      </c>
      <c r="U8" s="45">
        <f>IF(SUM(R8:T8)=0,0,SUM(R8:T8)/'Resid Cust Fcst '!T9)</f>
        <v>1156.1853644990699</v>
      </c>
      <c r="V8" s="137">
        <f>'Resid Cust Fcst '!$U9*'Resid TSM UC Adj'!R8</f>
        <v>0</v>
      </c>
      <c r="W8" s="23">
        <f>'Resid Cust Fcst '!$U9*'Resid TSM UC Adj'!S8</f>
        <v>0</v>
      </c>
      <c r="X8" s="23">
        <f>'Resid Cust Fcst '!$U9*'Resid TSM UC Adj'!T8</f>
        <v>0</v>
      </c>
      <c r="Y8" s="45">
        <f>IF(SUM(V8:X8)=0,0,SUM(V8:X8)/'Resid Cust Fcst '!U9)</f>
        <v>0</v>
      </c>
      <c r="Z8" s="137">
        <f t="shared" ref="Z8:Z37" si="3">R8+V8</f>
        <v>60155.86267476288</v>
      </c>
      <c r="AA8" s="23">
        <f t="shared" si="1"/>
        <v>10819.615638517522</v>
      </c>
      <c r="AB8" s="23">
        <f t="shared" si="1"/>
        <v>19206.980117647057</v>
      </c>
      <c r="AC8" s="45">
        <f>IF(SUM(Z8:AB8)=0,0,SUM(Z8:AB8)/'Resid Cust Fcst '!V9)</f>
        <v>1156.1853644990699</v>
      </c>
    </row>
    <row r="9" spans="1:29">
      <c r="A9" s="155" t="s">
        <v>7</v>
      </c>
      <c r="B9" s="137">
        <f>'Resid Cust Fcst '!$P10*'Resid TSM UC Adj'!B9</f>
        <v>33741.269128472763</v>
      </c>
      <c r="C9" s="23">
        <f>'Resid Cust Fcst '!$P10*'Resid TSM UC Adj'!C9</f>
        <v>9776.1146006634899</v>
      </c>
      <c r="D9" s="23">
        <f>'Resid Cust Fcst '!$P10*'Resid TSM UC Adj'!D9</f>
        <v>12312.166742081448</v>
      </c>
      <c r="E9" s="45">
        <f>IF(SUM(B9:D9)=0,0,SUM(B9:D9)/'Resid Cust Fcst '!P10)</f>
        <v>1116.5910094243541</v>
      </c>
      <c r="F9" s="137">
        <f>'Resid Cust Fcst '!$Q10*'Resid TSM UC Adj'!F9</f>
        <v>0</v>
      </c>
      <c r="G9" s="23">
        <f>'Resid Cust Fcst '!$Q10*'Resid TSM UC Adj'!G9</f>
        <v>0</v>
      </c>
      <c r="H9" s="23">
        <f>'Resid Cust Fcst '!$Q10*'Resid TSM UC Adj'!H9</f>
        <v>0</v>
      </c>
      <c r="I9" s="45">
        <f>IF(SUM(F9:H9)=0,0,SUM(F9:H9)/'Resid Cust Fcst '!Q10)</f>
        <v>0</v>
      </c>
      <c r="J9" s="137">
        <f>'Resid Cust Fcst '!$R10*'Resid TSM UC Adj'!J9</f>
        <v>0</v>
      </c>
      <c r="K9" s="23">
        <f>'Resid Cust Fcst '!$R10*'Resid TSM UC Adj'!K9</f>
        <v>0</v>
      </c>
      <c r="L9" s="23">
        <f>'Resid Cust Fcst '!$R10*'Resid TSM UC Adj'!L9</f>
        <v>0</v>
      </c>
      <c r="M9" s="45">
        <f>IF(SUM(J9:L9)=0,0,SUM(J9:L9)/'Resid Cust Fcst '!R10)</f>
        <v>0</v>
      </c>
      <c r="N9" s="137">
        <f>'Resid Cust Fcst '!$S10*'Resid TSM UC Adj'!N9</f>
        <v>0</v>
      </c>
      <c r="O9" s="23">
        <f>'Resid Cust Fcst '!$S10*'Resid TSM UC Adj'!O9</f>
        <v>0</v>
      </c>
      <c r="P9" s="23">
        <f>'Resid Cust Fcst '!$S10*'Resid TSM UC Adj'!P9</f>
        <v>0</v>
      </c>
      <c r="Q9" s="45">
        <f>IF(SUM(N9:P9)=0,0,SUM(N9:P9)/'Resid Cust Fcst '!S10)</f>
        <v>0</v>
      </c>
      <c r="R9" s="137">
        <f t="shared" si="2"/>
        <v>33741.269128472763</v>
      </c>
      <c r="S9" s="23">
        <f t="shared" si="0"/>
        <v>9776.1146006634899</v>
      </c>
      <c r="T9" s="23">
        <f t="shared" si="0"/>
        <v>12312.166742081448</v>
      </c>
      <c r="U9" s="45">
        <f>IF(SUM(R9:T9)=0,0,SUM(R9:T9)/'Resid Cust Fcst '!T10)</f>
        <v>1116.5910094243541</v>
      </c>
      <c r="V9" s="137">
        <f>'Resid Cust Fcst '!$U10*'Resid TSM UC Adj'!R9</f>
        <v>0</v>
      </c>
      <c r="W9" s="23">
        <f>'Resid Cust Fcst '!$U10*'Resid TSM UC Adj'!S9</f>
        <v>0</v>
      </c>
      <c r="X9" s="23">
        <f>'Resid Cust Fcst '!$U10*'Resid TSM UC Adj'!T9</f>
        <v>0</v>
      </c>
      <c r="Y9" s="45">
        <f>IF(SUM(V9:X9)=0,0,SUM(V9:X9)/'Resid Cust Fcst '!U10)</f>
        <v>0</v>
      </c>
      <c r="Z9" s="137">
        <f t="shared" si="3"/>
        <v>33741.269128472763</v>
      </c>
      <c r="AA9" s="23">
        <f t="shared" si="1"/>
        <v>9776.1146006634899</v>
      </c>
      <c r="AB9" s="23">
        <f t="shared" si="1"/>
        <v>12312.166742081448</v>
      </c>
      <c r="AC9" s="45">
        <f>IF(SUM(Z9:AB9)=0,0,SUM(Z9:AB9)/'Resid Cust Fcst '!V10)</f>
        <v>1116.5910094243541</v>
      </c>
    </row>
    <row r="10" spans="1:29" s="58" customFormat="1">
      <c r="A10" s="288" t="s">
        <v>124</v>
      </c>
      <c r="B10" s="137">
        <f>'Resid Cust Fcst '!$P11*'Resid TSM UC Adj'!B10</f>
        <v>39139.872189028407</v>
      </c>
      <c r="C10" s="23">
        <f>'Resid Cust Fcst '!$P11*'Resid TSM UC Adj'!C10</f>
        <v>6198.2221471925877</v>
      </c>
      <c r="D10" s="23">
        <f>'Resid Cust Fcst '!$P11*'Resid TSM UC Adj'!D10</f>
        <v>7141.0567104072397</v>
      </c>
      <c r="E10" s="45">
        <f>IF(SUM(B10:D10)=0,0,SUM(B10:D10)/'Resid Cust Fcst '!P11)</f>
        <v>1809.6258981595943</v>
      </c>
      <c r="F10" s="137">
        <f>'Resid Cust Fcst '!$Q11*'Resid TSM UC Adj'!F10</f>
        <v>0</v>
      </c>
      <c r="G10" s="23">
        <f>'Resid Cust Fcst '!$Q11*'Resid TSM UC Adj'!G10</f>
        <v>0</v>
      </c>
      <c r="H10" s="23">
        <f>'Resid Cust Fcst '!$Q11*'Resid TSM UC Adj'!H10</f>
        <v>0</v>
      </c>
      <c r="I10" s="45">
        <f>IF(SUM(F10:H10)=0,0,SUM(F10:H10)/'Resid Cust Fcst '!Q11)</f>
        <v>0</v>
      </c>
      <c r="J10" s="137">
        <f>'Resid Cust Fcst '!$R11*'Resid TSM UC Adj'!J10</f>
        <v>5938.6031240141447</v>
      </c>
      <c r="K10" s="23">
        <f>'Resid Cust Fcst '!$R11*'Resid TSM UC Adj'!K10</f>
        <v>2664.8568759858535</v>
      </c>
      <c r="L10" s="23">
        <f>'Resid Cust Fcst '!$R11*'Resid TSM UC Adj'!L10</f>
        <v>1119.54</v>
      </c>
      <c r="M10" s="45">
        <f>IF(SUM(J10:L10)=0,0,SUM(J10:L10)/'Resid Cust Fcst '!R11)</f>
        <v>3241</v>
      </c>
      <c r="N10" s="137">
        <f>'Resid Cust Fcst '!$S11*'Resid TSM UC Adj'!N10</f>
        <v>0</v>
      </c>
      <c r="O10" s="23">
        <f>'Resid Cust Fcst '!$S11*'Resid TSM UC Adj'!O10</f>
        <v>0</v>
      </c>
      <c r="P10" s="23">
        <f>'Resid Cust Fcst '!$S11*'Resid TSM UC Adj'!P10</f>
        <v>0</v>
      </c>
      <c r="Q10" s="45">
        <f>IF(SUM(N10:P10)=0,0,SUM(N10:P10)/'Resid Cust Fcst '!S11)</f>
        <v>0</v>
      </c>
      <c r="R10" s="137">
        <f t="shared" si="2"/>
        <v>45078.475313042552</v>
      </c>
      <c r="S10" s="23">
        <f t="shared" si="0"/>
        <v>8863.0790231784413</v>
      </c>
      <c r="T10" s="23">
        <f t="shared" si="0"/>
        <v>8260.5967104072406</v>
      </c>
      <c r="U10" s="45">
        <f>IF(SUM(R10:T10)=0,0,SUM(R10:T10)/'Resid Cust Fcst '!T11)</f>
        <v>1943.8172202071323</v>
      </c>
      <c r="V10" s="137">
        <f>'Resid Cust Fcst '!$U11*'Resid TSM UC Adj'!R10</f>
        <v>0</v>
      </c>
      <c r="W10" s="23">
        <f>'Resid Cust Fcst '!$U11*'Resid TSM UC Adj'!S10</f>
        <v>0</v>
      </c>
      <c r="X10" s="23">
        <f>'Resid Cust Fcst '!$U11*'Resid TSM UC Adj'!T10</f>
        <v>0</v>
      </c>
      <c r="Y10" s="45">
        <f>IF(SUM(V10:X10)=0,0,SUM(V10:X10)/'Resid Cust Fcst '!U11)</f>
        <v>0</v>
      </c>
      <c r="Z10" s="137">
        <f t="shared" si="3"/>
        <v>45078.475313042552</v>
      </c>
      <c r="AA10" s="23">
        <f t="shared" si="1"/>
        <v>8863.0790231784413</v>
      </c>
      <c r="AB10" s="23">
        <f t="shared" si="1"/>
        <v>8260.5967104072406</v>
      </c>
      <c r="AC10" s="45">
        <f>IF(SUM(Z10:AB10)=0,0,SUM(Z10:AB10)/'Resid Cust Fcst '!V11)</f>
        <v>1943.8172202071323</v>
      </c>
    </row>
    <row r="11" spans="1:29">
      <c r="A11" s="153" t="s">
        <v>116</v>
      </c>
      <c r="B11" s="137">
        <f>'Resid Cust Fcst '!$P12*'Resid TSM UC Adj'!B11</f>
        <v>12146.856886250196</v>
      </c>
      <c r="C11" s="23">
        <f>'Resid Cust Fcst '!$P12*'Resid TSM UC Adj'!C11</f>
        <v>1923.5861836114927</v>
      </c>
      <c r="D11" s="23">
        <f>'Resid Cust Fcst '!$P12*'Resid TSM UC Adj'!D11</f>
        <v>2216.1900135746605</v>
      </c>
      <c r="E11" s="45">
        <f>IF(SUM(B11:D11)=0,0,SUM(B11:D11)/'Resid Cust Fcst '!P12)</f>
        <v>1809.6258981595943</v>
      </c>
      <c r="F11" s="137">
        <f>'Resid Cust Fcst '!$Q12*'Resid TSM UC Adj'!F11</f>
        <v>0</v>
      </c>
      <c r="G11" s="23">
        <f>'Resid Cust Fcst '!$Q12*'Resid TSM UC Adj'!G11</f>
        <v>0</v>
      </c>
      <c r="H11" s="23">
        <f>'Resid Cust Fcst '!$Q12*'Resid TSM UC Adj'!H11</f>
        <v>0</v>
      </c>
      <c r="I11" s="45">
        <f>IF(SUM(F11:H11)=0,0,SUM(F11:H11)/'Resid Cust Fcst '!Q12)</f>
        <v>0</v>
      </c>
      <c r="J11" s="137">
        <f>'Resid Cust Fcst '!$R12*'Resid TSM UC Adj'!J11</f>
        <v>3959.0687493427631</v>
      </c>
      <c r="K11" s="23">
        <f>'Resid Cust Fcst '!$R12*'Resid TSM UC Adj'!K11</f>
        <v>1776.5712506572356</v>
      </c>
      <c r="L11" s="23">
        <f>'Resid Cust Fcst '!$R12*'Resid TSM UC Adj'!L11</f>
        <v>746.36</v>
      </c>
      <c r="M11" s="45">
        <f>IF(SUM(J11:L11)=0,0,SUM(J11:L11)/'Resid Cust Fcst '!R12)</f>
        <v>3240.9999999999991</v>
      </c>
      <c r="N11" s="137">
        <f>'Resid Cust Fcst '!$S12*'Resid TSM UC Adj'!N11</f>
        <v>0</v>
      </c>
      <c r="O11" s="23">
        <f>'Resid Cust Fcst '!$S12*'Resid TSM UC Adj'!O11</f>
        <v>0</v>
      </c>
      <c r="P11" s="23">
        <f>'Resid Cust Fcst '!$S12*'Resid TSM UC Adj'!P11</f>
        <v>0</v>
      </c>
      <c r="Q11" s="45">
        <f>IF(SUM(N11:P11)=0,0,SUM(N11:P11)/'Resid Cust Fcst '!S12)</f>
        <v>0</v>
      </c>
      <c r="R11" s="137">
        <f t="shared" si="2"/>
        <v>16105.925635592959</v>
      </c>
      <c r="S11" s="23">
        <f t="shared" si="0"/>
        <v>3700.1574342687281</v>
      </c>
      <c r="T11" s="23">
        <f t="shared" si="0"/>
        <v>2962.5500135746606</v>
      </c>
      <c r="U11" s="45">
        <f>IF(SUM(R11:T11)=0,0,SUM(R11:T11)/'Resid Cust Fcst '!T12)</f>
        <v>2069.8757348578497</v>
      </c>
      <c r="V11" s="137">
        <f>'Resid Cust Fcst '!$U12*'Resid TSM UC Adj'!R11</f>
        <v>0</v>
      </c>
      <c r="W11" s="23">
        <f>'Resid Cust Fcst '!$U12*'Resid TSM UC Adj'!S11</f>
        <v>0</v>
      </c>
      <c r="X11" s="23">
        <f>'Resid Cust Fcst '!$U12*'Resid TSM UC Adj'!T11</f>
        <v>0</v>
      </c>
      <c r="Y11" s="45">
        <f>IF(SUM(V11:X11)=0,0,SUM(V11:X11)/'Resid Cust Fcst '!U12)</f>
        <v>0</v>
      </c>
      <c r="Z11" s="137">
        <f t="shared" si="3"/>
        <v>16105.925635592959</v>
      </c>
      <c r="AA11" s="23">
        <f t="shared" si="1"/>
        <v>3700.1574342687281</v>
      </c>
      <c r="AB11" s="23">
        <f t="shared" si="1"/>
        <v>2962.5500135746606</v>
      </c>
      <c r="AC11" s="45">
        <f>IF(SUM(Z11:AB11)=0,0,SUM(Z11:AB11)/'Resid Cust Fcst '!V12)</f>
        <v>2069.8757348578497</v>
      </c>
    </row>
    <row r="12" spans="1:29">
      <c r="A12" s="153" t="s">
        <v>8</v>
      </c>
      <c r="B12" s="137">
        <f>'Resid Cust Fcst '!$P13*'Resid TSM UC Adj'!B12</f>
        <v>20300.241630849603</v>
      </c>
      <c r="C12" s="23">
        <f>'Resid Cust Fcst '!$P13*'Resid TSM UC Adj'!C12</f>
        <v>7213.8941449712092</v>
      </c>
      <c r="D12" s="23">
        <f>'Resid Cust Fcst '!$P13*'Resid TSM UC Adj'!D12</f>
        <v>3447.4066877828054</v>
      </c>
      <c r="E12" s="45">
        <f>IF(SUM(B12:D12)=0,0,SUM(B12:D12)/'Resid Cust Fcst '!P13)</f>
        <v>2211.5387474002582</v>
      </c>
      <c r="F12" s="137">
        <f>'Resid Cust Fcst '!$Q13*'Resid TSM UC Adj'!F12</f>
        <v>1711.248584020168</v>
      </c>
      <c r="G12" s="23">
        <f>'Resid Cust Fcst '!$Q13*'Resid TSM UC Adj'!G12</f>
        <v>1156.5714159798322</v>
      </c>
      <c r="H12" s="23">
        <f>'Resid Cust Fcst '!$Q13*'Resid TSM UC Adj'!H12</f>
        <v>373.18</v>
      </c>
      <c r="I12" s="45">
        <f>IF(SUM(F12:H12)=0,0,SUM(F12:H12)/'Resid Cust Fcst '!Q13)</f>
        <v>3241</v>
      </c>
      <c r="J12" s="137">
        <f>'Resid Cust Fcst '!$R13*'Resid TSM UC Adj'!J12</f>
        <v>25668.728760302518</v>
      </c>
      <c r="K12" s="23">
        <f>'Resid Cust Fcst '!$R13*'Resid TSM UC Adj'!K12</f>
        <v>17348.571239697481</v>
      </c>
      <c r="L12" s="23">
        <f>'Resid Cust Fcst '!$R13*'Resid TSM UC Adj'!L12</f>
        <v>5597.7</v>
      </c>
      <c r="M12" s="45">
        <f>IF(SUM(J12:L12)=0,0,SUM(J12:L12)/'Resid Cust Fcst '!R13)</f>
        <v>3241</v>
      </c>
      <c r="N12" s="137">
        <f>'Resid Cust Fcst '!$S13*'Resid TSM UC Adj'!N12</f>
        <v>0</v>
      </c>
      <c r="O12" s="23">
        <f>'Resid Cust Fcst '!$S13*'Resid TSM UC Adj'!O12</f>
        <v>0</v>
      </c>
      <c r="P12" s="23">
        <f>'Resid Cust Fcst '!$S13*'Resid TSM UC Adj'!P12</f>
        <v>0</v>
      </c>
      <c r="Q12" s="45">
        <f>IF(SUM(N12:P12)=0,0,SUM(N12:P12)/'Resid Cust Fcst '!S13)</f>
        <v>0</v>
      </c>
      <c r="R12" s="137">
        <f t="shared" si="2"/>
        <v>47680.218975172291</v>
      </c>
      <c r="S12" s="23">
        <f t="shared" si="0"/>
        <v>25719.036800648522</v>
      </c>
      <c r="T12" s="23">
        <f t="shared" si="0"/>
        <v>9418.2866877828055</v>
      </c>
      <c r="U12" s="45">
        <f>IF(SUM(R12:T12)=0,0,SUM(R12:T12)/'Resid Cust Fcst '!T13)</f>
        <v>2760.5847487867873</v>
      </c>
      <c r="V12" s="137">
        <f>'Resid Cust Fcst '!$U13*'Resid TSM UC Adj'!R12</f>
        <v>0</v>
      </c>
      <c r="W12" s="23">
        <f>'Resid Cust Fcst '!$U13*'Resid TSM UC Adj'!S12</f>
        <v>0</v>
      </c>
      <c r="X12" s="23">
        <f>'Resid Cust Fcst '!$U13*'Resid TSM UC Adj'!T12</f>
        <v>0</v>
      </c>
      <c r="Y12" s="45">
        <f>IF(SUM(V12:X12)=0,0,SUM(V12:X12)/'Resid Cust Fcst '!U13)</f>
        <v>0</v>
      </c>
      <c r="Z12" s="137">
        <f t="shared" si="3"/>
        <v>47680.218975172291</v>
      </c>
      <c r="AA12" s="23">
        <f t="shared" si="1"/>
        <v>25719.036800648522</v>
      </c>
      <c r="AB12" s="23">
        <f t="shared" si="1"/>
        <v>9418.2866877828055</v>
      </c>
      <c r="AC12" s="45">
        <f>IF(SUM(Z12:AB12)=0,0,SUM(Z12:AB12)/'Resid Cust Fcst '!V13)</f>
        <v>2760.5847487867873</v>
      </c>
    </row>
    <row r="13" spans="1:29">
      <c r="A13" s="153" t="s">
        <v>9</v>
      </c>
      <c r="B13" s="137">
        <f>'Resid Cust Fcst '!$P14*'Resid TSM UC Adj'!B13</f>
        <v>6493.7489399099759</v>
      </c>
      <c r="C13" s="23">
        <f>'Resid Cust Fcst '!$P14*'Resid TSM UC Adj'!C13</f>
        <v>2490.5210555651365</v>
      </c>
      <c r="D13" s="23">
        <f>'Resid Cust Fcst '!$P14*'Resid TSM UC Adj'!D13</f>
        <v>738.73000452488691</v>
      </c>
      <c r="E13" s="45">
        <f>IF(SUM(B13:D13)=0,0,SUM(B13:D13)/'Resid Cust Fcst '!P14)</f>
        <v>3240.9999999999995</v>
      </c>
      <c r="F13" s="137">
        <f>'Resid Cust Fcst '!$Q14*'Resid TSM UC Adj'!F13</f>
        <v>0</v>
      </c>
      <c r="G13" s="23">
        <f>'Resid Cust Fcst '!$Q14*'Resid TSM UC Adj'!G13</f>
        <v>0</v>
      </c>
      <c r="H13" s="23">
        <f>'Resid Cust Fcst '!$Q14*'Resid TSM UC Adj'!H13</f>
        <v>0</v>
      </c>
      <c r="I13" s="45">
        <f>IF(SUM(F13:H13)=0,0,SUM(F13:H13)/'Resid Cust Fcst '!Q14)</f>
        <v>0</v>
      </c>
      <c r="J13" s="137">
        <f>'Resid Cust Fcst '!$R14*'Resid TSM UC Adj'!J13</f>
        <v>2172.6880423497496</v>
      </c>
      <c r="K13" s="23">
        <f>'Resid Cust Fcst '!$R14*'Resid TSM UC Adj'!K13</f>
        <v>3562.9519576502498</v>
      </c>
      <c r="L13" s="23">
        <f>'Resid Cust Fcst '!$R14*'Resid TSM UC Adj'!L13</f>
        <v>746.36</v>
      </c>
      <c r="M13" s="45">
        <f>IF(SUM(J13:L13)=0,0,SUM(J13:L13)/'Resid Cust Fcst '!R14)</f>
        <v>3240.9999999999995</v>
      </c>
      <c r="N13" s="137">
        <f>'Resid Cust Fcst '!$S14*'Resid TSM UC Adj'!N13</f>
        <v>0</v>
      </c>
      <c r="O13" s="23">
        <f>'Resid Cust Fcst '!$S14*'Resid TSM UC Adj'!O13</f>
        <v>0</v>
      </c>
      <c r="P13" s="23">
        <f>'Resid Cust Fcst '!$S14*'Resid TSM UC Adj'!P13</f>
        <v>0</v>
      </c>
      <c r="Q13" s="45">
        <f>IF(SUM(N13:P13)=0,0,SUM(N13:P13)/'Resid Cust Fcst '!S14)</f>
        <v>0</v>
      </c>
      <c r="R13" s="137">
        <f t="shared" si="2"/>
        <v>8666.4369822597255</v>
      </c>
      <c r="S13" s="23">
        <f t="shared" si="0"/>
        <v>6053.4730132153863</v>
      </c>
      <c r="T13" s="23">
        <f t="shared" si="0"/>
        <v>1485.0900045248868</v>
      </c>
      <c r="U13" s="45">
        <f>IF(SUM(R13:T13)=0,0,SUM(R13:T13)/'Resid Cust Fcst '!T14)</f>
        <v>3240.9999999999995</v>
      </c>
      <c r="V13" s="137">
        <f>'Resid Cust Fcst '!$U14*'Resid TSM UC Adj'!R13</f>
        <v>0</v>
      </c>
      <c r="W13" s="23">
        <f>'Resid Cust Fcst '!$U14*'Resid TSM UC Adj'!S13</f>
        <v>0</v>
      </c>
      <c r="X13" s="23">
        <f>'Resid Cust Fcst '!$U14*'Resid TSM UC Adj'!T13</f>
        <v>0</v>
      </c>
      <c r="Y13" s="45">
        <f>IF(SUM(V13:X13)=0,0,SUM(V13:X13)/'Resid Cust Fcst '!U14)</f>
        <v>0</v>
      </c>
      <c r="Z13" s="137">
        <f t="shared" si="3"/>
        <v>8666.4369822597255</v>
      </c>
      <c r="AA13" s="23">
        <f t="shared" si="1"/>
        <v>6053.4730132153863</v>
      </c>
      <c r="AB13" s="23">
        <f t="shared" si="1"/>
        <v>1485.0900045248868</v>
      </c>
      <c r="AC13" s="45">
        <f>IF(SUM(Z13:AB13)=0,0,SUM(Z13:AB13)/'Resid Cust Fcst '!V14)</f>
        <v>3240.9999999999995</v>
      </c>
    </row>
    <row r="14" spans="1:29">
      <c r="A14" s="153" t="s">
        <v>10</v>
      </c>
      <c r="B14" s="137">
        <f>'Resid Cust Fcst '!$P15*'Resid TSM UC Adj'!B14</f>
        <v>1416.3130447816138</v>
      </c>
      <c r="C14" s="23">
        <f>'Resid Cust Fcst '!$P15*'Resid TSM UC Adj'!C14</f>
        <v>1578.4436203767575</v>
      </c>
      <c r="D14" s="23">
        <f>'Resid Cust Fcst '!$P15*'Resid TSM UC Adj'!D14</f>
        <v>246.24333484162895</v>
      </c>
      <c r="E14" s="45">
        <f>IF(SUM(B14:D14)=0,0,SUM(B14:D14)/'Resid Cust Fcst '!P15)</f>
        <v>3241</v>
      </c>
      <c r="F14" s="137">
        <f>'Resid Cust Fcst '!$Q15*'Resid TSM UC Adj'!F14</f>
        <v>0</v>
      </c>
      <c r="G14" s="23">
        <f>'Resid Cust Fcst '!$Q15*'Resid TSM UC Adj'!G14</f>
        <v>0</v>
      </c>
      <c r="H14" s="23">
        <f>'Resid Cust Fcst '!$Q15*'Resid TSM UC Adj'!H14</f>
        <v>0</v>
      </c>
      <c r="I14" s="45">
        <f>IF(SUM(F14:H14)=0,0,SUM(F14:H14)/'Resid Cust Fcst '!Q15)</f>
        <v>0</v>
      </c>
      <c r="J14" s="137">
        <f>'Resid Cust Fcst '!$R15*'Resid TSM UC Adj'!J14</f>
        <v>4345.3760846994992</v>
      </c>
      <c r="K14" s="23">
        <f>'Resid Cust Fcst '!$R15*'Resid TSM UC Adj'!K14</f>
        <v>7125.9039153004996</v>
      </c>
      <c r="L14" s="23">
        <f>'Resid Cust Fcst '!$R15*'Resid TSM UC Adj'!L14</f>
        <v>1492.72</v>
      </c>
      <c r="M14" s="45">
        <f>IF(SUM(J14:L14)=0,0,SUM(J14:L14)/'Resid Cust Fcst '!R15)</f>
        <v>3240.9999999999995</v>
      </c>
      <c r="N14" s="137">
        <f>'Resid Cust Fcst '!$S15*'Resid TSM UC Adj'!N14</f>
        <v>0</v>
      </c>
      <c r="O14" s="23">
        <f>'Resid Cust Fcst '!$S15*'Resid TSM UC Adj'!O14</f>
        <v>0</v>
      </c>
      <c r="P14" s="23">
        <f>'Resid Cust Fcst '!$S15*'Resid TSM UC Adj'!P14</f>
        <v>0</v>
      </c>
      <c r="Q14" s="45">
        <f>IF(SUM(N14:P14)=0,0,SUM(N14:P14)/'Resid Cust Fcst '!S15)</f>
        <v>0</v>
      </c>
      <c r="R14" s="137">
        <f t="shared" si="2"/>
        <v>5761.689129481113</v>
      </c>
      <c r="S14" s="23">
        <f t="shared" si="0"/>
        <v>8704.3475356772578</v>
      </c>
      <c r="T14" s="23">
        <f t="shared" si="0"/>
        <v>1738.9633348416289</v>
      </c>
      <c r="U14" s="45">
        <f>IF(SUM(R14:T14)=0,0,SUM(R14:T14)/'Resid Cust Fcst '!T15)</f>
        <v>3241</v>
      </c>
      <c r="V14" s="137">
        <f>'Resid Cust Fcst '!$U15*'Resid TSM UC Adj'!R14</f>
        <v>0</v>
      </c>
      <c r="W14" s="23">
        <f>'Resid Cust Fcst '!$U15*'Resid TSM UC Adj'!S14</f>
        <v>0</v>
      </c>
      <c r="X14" s="23">
        <f>'Resid Cust Fcst '!$U15*'Resid TSM UC Adj'!T14</f>
        <v>0</v>
      </c>
      <c r="Y14" s="45">
        <f>IF(SUM(V14:X14)=0,0,SUM(V14:X14)/'Resid Cust Fcst '!U15)</f>
        <v>0</v>
      </c>
      <c r="Z14" s="137">
        <f t="shared" si="3"/>
        <v>5761.689129481113</v>
      </c>
      <c r="AA14" s="23">
        <f t="shared" si="1"/>
        <v>8704.3475356772578</v>
      </c>
      <c r="AB14" s="23">
        <f t="shared" si="1"/>
        <v>1738.9633348416289</v>
      </c>
      <c r="AC14" s="45">
        <f>IF(SUM(Z14:AB14)=0,0,SUM(Z14:AB14)/'Resid Cust Fcst '!V15)</f>
        <v>3241</v>
      </c>
    </row>
    <row r="15" spans="1:29">
      <c r="A15" s="153" t="s">
        <v>11</v>
      </c>
      <c r="B15" s="137">
        <f>'Resid Cust Fcst '!$P16*'Resid TSM UC Adj'!B15</f>
        <v>0</v>
      </c>
      <c r="C15" s="23">
        <f>'Resid Cust Fcst '!$P16*'Resid TSM UC Adj'!C15</f>
        <v>0</v>
      </c>
      <c r="D15" s="23">
        <f>'Resid Cust Fcst '!$P16*'Resid TSM UC Adj'!D15</f>
        <v>0</v>
      </c>
      <c r="E15" s="45">
        <f>IF(SUM(B15:D15)=0,0,SUM(B15:D15)/'Resid Cust Fcst '!P16)</f>
        <v>0</v>
      </c>
      <c r="F15" s="137">
        <f>'Resid Cust Fcst '!$Q16*'Resid TSM UC Adj'!F15</f>
        <v>0</v>
      </c>
      <c r="G15" s="23">
        <f>'Resid Cust Fcst '!$Q16*'Resid TSM UC Adj'!G15</f>
        <v>0</v>
      </c>
      <c r="H15" s="23">
        <f>'Resid Cust Fcst '!$Q16*'Resid TSM UC Adj'!H15</f>
        <v>0</v>
      </c>
      <c r="I15" s="45">
        <f>IF(SUM(F15:H15)=0,0,SUM(F15:H15)/'Resid Cust Fcst '!Q16)</f>
        <v>0</v>
      </c>
      <c r="J15" s="137">
        <f>'Resid Cust Fcst '!$R16*'Resid TSM UC Adj'!J15</f>
        <v>0</v>
      </c>
      <c r="K15" s="23">
        <f>'Resid Cust Fcst '!$R16*'Resid TSM UC Adj'!K15</f>
        <v>5735.6399999999994</v>
      </c>
      <c r="L15" s="23">
        <f>'Resid Cust Fcst '!$R16*'Resid TSM UC Adj'!L15</f>
        <v>746.36</v>
      </c>
      <c r="M15" s="45">
        <f>IF(SUM(J15:L15)=0,0,SUM(J15:L15)/'Resid Cust Fcst '!R16)</f>
        <v>3240.9999999999995</v>
      </c>
      <c r="N15" s="137">
        <f>'Resid Cust Fcst '!$S16*'Resid TSM UC Adj'!N15</f>
        <v>0</v>
      </c>
      <c r="O15" s="23">
        <f>'Resid Cust Fcst '!$S16*'Resid TSM UC Adj'!O15</f>
        <v>0</v>
      </c>
      <c r="P15" s="23">
        <f>'Resid Cust Fcst '!$S16*'Resid TSM UC Adj'!P15</f>
        <v>0</v>
      </c>
      <c r="Q15" s="45">
        <f>IF(SUM(N15:P15)=0,0,SUM(N15:P15)/'Resid Cust Fcst '!S16)</f>
        <v>0</v>
      </c>
      <c r="R15" s="137">
        <f t="shared" si="2"/>
        <v>0</v>
      </c>
      <c r="S15" s="23">
        <f t="shared" si="0"/>
        <v>5735.6399999999994</v>
      </c>
      <c r="T15" s="23">
        <f t="shared" si="0"/>
        <v>746.36</v>
      </c>
      <c r="U15" s="45">
        <f>IF(SUM(R15:T15)=0,0,SUM(R15:T15)/'Resid Cust Fcst '!T16)</f>
        <v>3240.9999999999995</v>
      </c>
      <c r="V15" s="137">
        <f>'Resid Cust Fcst '!$U16*'Resid TSM UC Adj'!R15</f>
        <v>0</v>
      </c>
      <c r="W15" s="23">
        <f>'Resid Cust Fcst '!$U16*'Resid TSM UC Adj'!S15</f>
        <v>0</v>
      </c>
      <c r="X15" s="23">
        <f>'Resid Cust Fcst '!$U16*'Resid TSM UC Adj'!T15</f>
        <v>0</v>
      </c>
      <c r="Y15" s="45">
        <f>IF(SUM(V15:X15)=0,0,SUM(V15:X15)/'Resid Cust Fcst '!U16)</f>
        <v>0</v>
      </c>
      <c r="Z15" s="137">
        <f t="shared" si="3"/>
        <v>0</v>
      </c>
      <c r="AA15" s="23">
        <f t="shared" si="1"/>
        <v>5735.6399999999994</v>
      </c>
      <c r="AB15" s="23">
        <f t="shared" si="1"/>
        <v>746.36</v>
      </c>
      <c r="AC15" s="45">
        <f>IF(SUM(Z15:AB15)=0,0,SUM(Z15:AB15)/'Resid Cust Fcst '!V16)</f>
        <v>3240.9999999999995</v>
      </c>
    </row>
    <row r="16" spans="1:29">
      <c r="A16" s="153" t="s">
        <v>120</v>
      </c>
      <c r="B16" s="137">
        <f>'Resid Cust Fcst '!$P17*'Resid TSM UC Adj'!B16</f>
        <v>0</v>
      </c>
      <c r="C16" s="23">
        <f>'Resid Cust Fcst '!$P17*'Resid TSM UC Adj'!C16</f>
        <v>0</v>
      </c>
      <c r="D16" s="23">
        <f>'Resid Cust Fcst '!$P17*'Resid TSM UC Adj'!D16</f>
        <v>0</v>
      </c>
      <c r="E16" s="45">
        <f>IF(SUM(B16:D16)=0,0,SUM(B16:D16)/'Resid Cust Fcst '!P17)</f>
        <v>0</v>
      </c>
      <c r="F16" s="137">
        <f>'Resid Cust Fcst '!$Q17*'Resid TSM UC Adj'!F16</f>
        <v>0</v>
      </c>
      <c r="G16" s="23">
        <f>'Resid Cust Fcst '!$Q17*'Resid TSM UC Adj'!G16</f>
        <v>0</v>
      </c>
      <c r="H16" s="23">
        <f>'Resid Cust Fcst '!$Q17*'Resid TSM UC Adj'!H16</f>
        <v>0</v>
      </c>
      <c r="I16" s="45">
        <f>IF(SUM(F16:H16)=0,0,SUM(F16:H16)/'Resid Cust Fcst '!Q17)</f>
        <v>0</v>
      </c>
      <c r="J16" s="137">
        <f>'Resid Cust Fcst '!$R17*'Resid TSM UC Adj'!J16</f>
        <v>0</v>
      </c>
      <c r="K16" s="23">
        <f>'Resid Cust Fcst '!$R17*'Resid TSM UC Adj'!K16</f>
        <v>0</v>
      </c>
      <c r="L16" s="23">
        <f>'Resid Cust Fcst '!$R17*'Resid TSM UC Adj'!L16</f>
        <v>0</v>
      </c>
      <c r="M16" s="45">
        <f>IF(SUM(J16:L16)=0,0,SUM(J16:L16)/'Resid Cust Fcst '!R17)</f>
        <v>0</v>
      </c>
      <c r="N16" s="137">
        <f>'Resid Cust Fcst '!$S17*'Resid TSM UC Adj'!N16</f>
        <v>467.83851906877499</v>
      </c>
      <c r="O16" s="23">
        <f>'Resid Cust Fcst '!$S17*'Resid TSM UC Adj'!O16</f>
        <v>2399.9814809312252</v>
      </c>
      <c r="P16" s="23">
        <f>'Resid Cust Fcst '!$S17*'Resid TSM UC Adj'!P16</f>
        <v>373.18</v>
      </c>
      <c r="Q16" s="45">
        <f>IF(SUM(N16:P16)=0,0,SUM(N16:P16)/'Resid Cust Fcst '!S17)</f>
        <v>3241</v>
      </c>
      <c r="R16" s="137">
        <f t="shared" si="2"/>
        <v>467.83851906877499</v>
      </c>
      <c r="S16" s="23">
        <f t="shared" si="0"/>
        <v>2399.9814809312252</v>
      </c>
      <c r="T16" s="23">
        <f t="shared" si="0"/>
        <v>373.18</v>
      </c>
      <c r="U16" s="45">
        <f>IF(SUM(R16:T16)=0,0,SUM(R16:T16)/'Resid Cust Fcst '!T17)</f>
        <v>3241</v>
      </c>
      <c r="V16" s="137">
        <f>'Resid Cust Fcst '!$U17*'Resid TSM UC Adj'!R16</f>
        <v>0</v>
      </c>
      <c r="W16" s="23">
        <f>'Resid Cust Fcst '!$U17*'Resid TSM UC Adj'!S16</f>
        <v>2227.96</v>
      </c>
      <c r="X16" s="23">
        <f>'Resid Cust Fcst '!$U17*'Resid TSM UC Adj'!T16</f>
        <v>1013.04</v>
      </c>
      <c r="Y16" s="45">
        <f>IF(SUM(V16:X16)=0,0,SUM(V16:X16)/'Resid Cust Fcst '!U17)</f>
        <v>3241</v>
      </c>
      <c r="Z16" s="137">
        <f t="shared" si="3"/>
        <v>467.83851906877499</v>
      </c>
      <c r="AA16" s="23">
        <f t="shared" si="1"/>
        <v>4627.9414809312257</v>
      </c>
      <c r="AB16" s="23">
        <f t="shared" si="1"/>
        <v>1386.22</v>
      </c>
      <c r="AC16" s="45">
        <f>IF(SUM(Z16:AB16)=0,0,SUM(Z16:AB16)/'Resid Cust Fcst '!V17)</f>
        <v>3241.0000000000005</v>
      </c>
    </row>
    <row r="17" spans="1:29">
      <c r="A17" s="153" t="s">
        <v>121</v>
      </c>
      <c r="B17" s="137">
        <f>'Resid Cust Fcst '!$P18*'Resid TSM UC Adj'!J17</f>
        <v>0</v>
      </c>
      <c r="C17" s="23">
        <f>'Resid Cust Fcst '!$P18*'Resid TSM UC Adj'!K17</f>
        <v>0</v>
      </c>
      <c r="D17" s="23">
        <f>'Resid Cust Fcst '!$P18*'Resid TSM UC Adj'!L17</f>
        <v>0</v>
      </c>
      <c r="E17" s="45">
        <f>IF(SUM(B17:D17)=0,0,SUM(B17:D17)/'Resid Cust Fcst '!P18)</f>
        <v>0</v>
      </c>
      <c r="F17" s="137">
        <f>'Resid Cust Fcst '!$Q18*'Resid TSM UC Adj'!F17</f>
        <v>0</v>
      </c>
      <c r="G17" s="23">
        <f>'Resid Cust Fcst '!$Q18*'Resid TSM UC Adj'!G17</f>
        <v>0</v>
      </c>
      <c r="H17" s="23">
        <f>'Resid Cust Fcst '!$Q18*'Resid TSM UC Adj'!H17</f>
        <v>0</v>
      </c>
      <c r="I17" s="45">
        <f>IF(SUM(F17:H17)=0,0,SUM(F17:H17)/'Resid Cust Fcst '!Q18)</f>
        <v>0</v>
      </c>
      <c r="J17" s="137">
        <f>'Resid Cust Fcst '!$R18*'Resid TSM UC Adj'!J17</f>
        <v>0</v>
      </c>
      <c r="K17" s="23">
        <f>'Resid Cust Fcst '!$R18*'Resid TSM UC Adj'!K17</f>
        <v>2867.8199999999988</v>
      </c>
      <c r="L17" s="23">
        <f>'Resid Cust Fcst '!$R18*'Resid TSM UC Adj'!L17</f>
        <v>373.18</v>
      </c>
      <c r="M17" s="45">
        <f>IF(SUM(J17:L17)=0,0,SUM(J17:L17)/'Resid Cust Fcst '!R18)</f>
        <v>3240.9999999999986</v>
      </c>
      <c r="N17" s="137">
        <f>'Resid Cust Fcst '!$S18*'Resid TSM UC Adj'!N17</f>
        <v>0</v>
      </c>
      <c r="O17" s="23">
        <f>'Resid Cust Fcst '!$S18*'Resid TSM UC Adj'!O17</f>
        <v>0</v>
      </c>
      <c r="P17" s="23">
        <f>'Resid Cust Fcst '!$S18*'Resid TSM UC Adj'!P17</f>
        <v>0</v>
      </c>
      <c r="Q17" s="45">
        <f>IF(SUM(N17:P17)=0,0,SUM(N17:P17)/'Resid Cust Fcst '!S18)</f>
        <v>0</v>
      </c>
      <c r="R17" s="137">
        <f t="shared" si="2"/>
        <v>0</v>
      </c>
      <c r="S17" s="23">
        <f t="shared" si="0"/>
        <v>2867.8199999999988</v>
      </c>
      <c r="T17" s="23">
        <f t="shared" si="0"/>
        <v>373.18</v>
      </c>
      <c r="U17" s="45">
        <f>IF(SUM(R17:T17)=0,0,SUM(R17:T17)/'Resid Cust Fcst '!T18)</f>
        <v>3240.9999999999986</v>
      </c>
      <c r="V17" s="137">
        <f>'Resid Cust Fcst '!$U18*'Resid TSM UC Adj'!R17</f>
        <v>0</v>
      </c>
      <c r="W17" s="23">
        <f>'Resid Cust Fcst '!$U18*'Resid TSM UC Adj'!S17</f>
        <v>0</v>
      </c>
      <c r="X17" s="23">
        <f>'Resid Cust Fcst '!$U18*'Resid TSM UC Adj'!T17</f>
        <v>0</v>
      </c>
      <c r="Y17" s="45">
        <f>IF(SUM(V17:X17)=0,0,SUM(V17:X17)/'Resid Cust Fcst '!U18)</f>
        <v>0</v>
      </c>
      <c r="Z17" s="137">
        <f t="shared" si="3"/>
        <v>0</v>
      </c>
      <c r="AA17" s="23">
        <f t="shared" si="1"/>
        <v>2867.8199999999988</v>
      </c>
      <c r="AB17" s="23">
        <f t="shared" si="1"/>
        <v>373.18</v>
      </c>
      <c r="AC17" s="45">
        <f>IF(SUM(Z17:AB17)=0,0,SUM(Z17:AB17)/'Resid Cust Fcst '!V18)</f>
        <v>3240.9999999999986</v>
      </c>
    </row>
    <row r="18" spans="1:29">
      <c r="A18" s="153" t="s">
        <v>12</v>
      </c>
      <c r="B18" s="137">
        <f>'Resid Cust Fcst '!$P19*'Resid TSM UC Adj'!J18</f>
        <v>0</v>
      </c>
      <c r="C18" s="23">
        <f>'Resid Cust Fcst '!$P19*'Resid TSM UC Adj'!K18</f>
        <v>0</v>
      </c>
      <c r="D18" s="23">
        <f>'Resid Cust Fcst '!$P19*'Resid TSM UC Adj'!L18</f>
        <v>0</v>
      </c>
      <c r="E18" s="45">
        <f>IF(SUM(B18:D18)=0,0,SUM(B18:D18)/'Resid Cust Fcst '!P19)</f>
        <v>0</v>
      </c>
      <c r="F18" s="137">
        <f>'Resid Cust Fcst '!$Q19*'Resid TSM UC Adj'!J18</f>
        <v>0</v>
      </c>
      <c r="G18" s="23">
        <f>'Resid Cust Fcst '!$Q19*'Resid TSM UC Adj'!K18</f>
        <v>0</v>
      </c>
      <c r="H18" s="23">
        <f>'Resid Cust Fcst '!$Q19*'Resid TSM UC Adj'!L18</f>
        <v>0</v>
      </c>
      <c r="I18" s="45">
        <f>IF(SUM(F18:H18)=0,0,SUM(F18:H18)/'Resid Cust Fcst '!Q19)</f>
        <v>0</v>
      </c>
      <c r="J18" s="137">
        <f>'Resid Cust Fcst '!$R19*'Resid TSM UC Adj'!J18</f>
        <v>0</v>
      </c>
      <c r="K18" s="23">
        <f>'Resid Cust Fcst '!$R19*'Resid TSM UC Adj'!K18</f>
        <v>0</v>
      </c>
      <c r="L18" s="23">
        <f>'Resid Cust Fcst '!$R19*'Resid TSM UC Adj'!L18</f>
        <v>0</v>
      </c>
      <c r="M18" s="45">
        <f>IF(SUM(J18:L18)=0,0,SUM(J18:L18)/'Resid Cust Fcst '!R19)</f>
        <v>0</v>
      </c>
      <c r="N18" s="137">
        <f>'Resid Cust Fcst '!$S19*'Resid TSM UC Adj'!N18</f>
        <v>0</v>
      </c>
      <c r="O18" s="23">
        <f>'Resid Cust Fcst '!$S19*'Resid TSM UC Adj'!O18</f>
        <v>0</v>
      </c>
      <c r="P18" s="23">
        <f>'Resid Cust Fcst '!$S19*'Resid TSM UC Adj'!P18</f>
        <v>0</v>
      </c>
      <c r="Q18" s="45">
        <f>IF(SUM(N18:P18)=0,0,SUM(N18:P18)/'Resid Cust Fcst '!S19)</f>
        <v>0</v>
      </c>
      <c r="R18" s="137">
        <f t="shared" si="2"/>
        <v>0</v>
      </c>
      <c r="S18" s="23">
        <f t="shared" si="0"/>
        <v>0</v>
      </c>
      <c r="T18" s="23">
        <f t="shared" si="0"/>
        <v>0</v>
      </c>
      <c r="U18" s="45">
        <f>IF(SUM(R18:T18)=0,0,SUM(R18:T18)/'Resid Cust Fcst '!T19)</f>
        <v>0</v>
      </c>
      <c r="V18" s="137">
        <f>'Resid Cust Fcst '!$U19*'Resid TSM UC Adj'!R18</f>
        <v>0</v>
      </c>
      <c r="W18" s="23">
        <f>'Resid Cust Fcst '!$U19*'Resid TSM UC Adj'!S18</f>
        <v>0</v>
      </c>
      <c r="X18" s="23">
        <f>'Resid Cust Fcst '!$U19*'Resid TSM UC Adj'!T18</f>
        <v>0</v>
      </c>
      <c r="Y18" s="45">
        <f>IF(SUM(V18:X18)=0,0,SUM(V18:X18)/'Resid Cust Fcst '!U19)</f>
        <v>0</v>
      </c>
      <c r="Z18" s="137">
        <f t="shared" si="3"/>
        <v>0</v>
      </c>
      <c r="AA18" s="23">
        <f t="shared" si="1"/>
        <v>0</v>
      </c>
      <c r="AB18" s="23">
        <f t="shared" si="1"/>
        <v>0</v>
      </c>
      <c r="AC18" s="45">
        <f>IF(SUM(Z18:AB18)=0,0,SUM(Z18:AB18)/'Resid Cust Fcst '!V19)</f>
        <v>0</v>
      </c>
    </row>
    <row r="19" spans="1:29" s="58" customFormat="1">
      <c r="A19" s="134" t="s">
        <v>13</v>
      </c>
      <c r="B19" s="137">
        <f>'Resid Cust Fcst '!$P20*'Resid TSM UC Adj'!J19</f>
        <v>0</v>
      </c>
      <c r="C19" s="23">
        <f>'Resid Cust Fcst '!$P20*'Resid TSM UC Adj'!K19</f>
        <v>0</v>
      </c>
      <c r="D19" s="23">
        <f>'Resid Cust Fcst '!$P20*'Resid TSM UC Adj'!L19</f>
        <v>0</v>
      </c>
      <c r="E19" s="45">
        <f>IF(SUM(B19:D19)=0,0,SUM(B19:D19)/'Resid Cust Fcst '!P20)</f>
        <v>0</v>
      </c>
      <c r="F19" s="137">
        <f>'Resid Cust Fcst '!$Q20*'Resid TSM UC Adj'!J19</f>
        <v>0</v>
      </c>
      <c r="G19" s="23">
        <f>'Resid Cust Fcst '!$Q20*'Resid TSM UC Adj'!K19</f>
        <v>0</v>
      </c>
      <c r="H19" s="23">
        <f>'Resid Cust Fcst '!$Q20*'Resid TSM UC Adj'!L19</f>
        <v>0</v>
      </c>
      <c r="I19" s="45">
        <f>IF(SUM(F19:H19)=0,0,SUM(F19:H19)/'Resid Cust Fcst '!Q20)</f>
        <v>0</v>
      </c>
      <c r="J19" s="137">
        <f>'Resid Cust Fcst '!$R20*'Resid TSM UC Adj'!J19</f>
        <v>0</v>
      </c>
      <c r="K19" s="23">
        <f>'Resid Cust Fcst '!$R20*'Resid TSM UC Adj'!K19</f>
        <v>0</v>
      </c>
      <c r="L19" s="23">
        <f>'Resid Cust Fcst '!$R20*'Resid TSM UC Adj'!L19</f>
        <v>0</v>
      </c>
      <c r="M19" s="45">
        <f>IF(SUM(J19:L19)=0,0,SUM(J19:L19)/'Resid Cust Fcst '!R20)</f>
        <v>0</v>
      </c>
      <c r="N19" s="137">
        <f>'Resid Cust Fcst '!$S20*'Resid TSM UC Adj'!N19</f>
        <v>0</v>
      </c>
      <c r="O19" s="23">
        <f>'Resid Cust Fcst '!$S20*'Resid TSM UC Adj'!O19</f>
        <v>0</v>
      </c>
      <c r="P19" s="23">
        <f>'Resid Cust Fcst '!$S20*'Resid TSM UC Adj'!P19</f>
        <v>0</v>
      </c>
      <c r="Q19" s="45">
        <f>IF(SUM(N19:P19)=0,0,SUM(N19:P19)/'Resid Cust Fcst '!S20)</f>
        <v>0</v>
      </c>
      <c r="R19" s="137">
        <f t="shared" si="2"/>
        <v>0</v>
      </c>
      <c r="S19" s="23">
        <f t="shared" si="0"/>
        <v>0</v>
      </c>
      <c r="T19" s="23">
        <f t="shared" si="0"/>
        <v>0</v>
      </c>
      <c r="U19" s="45">
        <f>IF(SUM(R19:T19)=0,0,SUM(R19:T19)/'Resid Cust Fcst '!T20)</f>
        <v>0</v>
      </c>
      <c r="V19" s="137">
        <f>'Resid Cust Fcst '!$U20*'Resid TSM UC Adj'!R19</f>
        <v>0</v>
      </c>
      <c r="W19" s="23">
        <f>'Resid Cust Fcst '!$U20*'Resid TSM UC Adj'!S19</f>
        <v>0</v>
      </c>
      <c r="X19" s="23">
        <f>'Resid Cust Fcst '!$U20*'Resid TSM UC Adj'!T19</f>
        <v>0</v>
      </c>
      <c r="Y19" s="45">
        <f>IF(SUM(V19:X19)=0,0,SUM(V19:X19)/'Resid Cust Fcst '!U20)</f>
        <v>0</v>
      </c>
      <c r="Z19" s="137">
        <f t="shared" si="3"/>
        <v>0</v>
      </c>
      <c r="AA19" s="23">
        <f t="shared" si="1"/>
        <v>0</v>
      </c>
      <c r="AB19" s="23">
        <f t="shared" si="1"/>
        <v>0</v>
      </c>
      <c r="AC19" s="45">
        <f>IF(SUM(Z19:AB19)=0,0,SUM(Z19:AB19)/'Resid Cust Fcst '!V20)</f>
        <v>0</v>
      </c>
    </row>
    <row r="20" spans="1:29">
      <c r="A20" s="153" t="s">
        <v>122</v>
      </c>
      <c r="B20" s="137">
        <f>'Resid Cust Fcst '!$P21*'Resid TSM UC Adj'!J20</f>
        <v>0</v>
      </c>
      <c r="C20" s="23">
        <f>'Resid Cust Fcst '!$P21*'Resid TSM UC Adj'!K20</f>
        <v>0</v>
      </c>
      <c r="D20" s="23">
        <f>'Resid Cust Fcst '!$P21*'Resid TSM UC Adj'!L20</f>
        <v>0</v>
      </c>
      <c r="E20" s="45">
        <f>IF(SUM(B20:D20)=0,0,SUM(B20:D20)/'Resid Cust Fcst '!P21)</f>
        <v>0</v>
      </c>
      <c r="F20" s="137">
        <f>'Resid Cust Fcst '!$Q21*'Resid TSM UC Adj'!J20</f>
        <v>0</v>
      </c>
      <c r="G20" s="23">
        <f>'Resid Cust Fcst '!$Q21*'Resid TSM UC Adj'!K20</f>
        <v>0</v>
      </c>
      <c r="H20" s="23">
        <f>'Resid Cust Fcst '!$Q21*'Resid TSM UC Adj'!L20</f>
        <v>0</v>
      </c>
      <c r="I20" s="45">
        <f>IF(SUM(F20:H20)=0,0,SUM(F20:H20)/'Resid Cust Fcst '!Q21)</f>
        <v>0</v>
      </c>
      <c r="J20" s="137">
        <f>'Resid Cust Fcst '!$R21*'Resid TSM UC Adj'!J20</f>
        <v>0</v>
      </c>
      <c r="K20" s="23">
        <f>'Resid Cust Fcst '!$R21*'Resid TSM UC Adj'!K20</f>
        <v>0</v>
      </c>
      <c r="L20" s="23">
        <f>'Resid Cust Fcst '!$R21*'Resid TSM UC Adj'!L20</f>
        <v>0</v>
      </c>
      <c r="M20" s="45">
        <f>IF(SUM(J20:L20)=0,0,SUM(J20:L20)/'Resid Cust Fcst '!R21)</f>
        <v>0</v>
      </c>
      <c r="N20" s="137">
        <f>'Resid Cust Fcst '!$S21*'Resid TSM UC Adj'!N20</f>
        <v>0</v>
      </c>
      <c r="O20" s="23">
        <f>'Resid Cust Fcst '!$S21*'Resid TSM UC Adj'!O20</f>
        <v>2867.8200000000006</v>
      </c>
      <c r="P20" s="23">
        <f>'Resid Cust Fcst '!$S21*'Resid TSM UC Adj'!P20</f>
        <v>373.18</v>
      </c>
      <c r="Q20" s="45">
        <f>IF(SUM(N20:P20)=0,0,SUM(N20:P20)/'Resid Cust Fcst '!S21)</f>
        <v>3241.0000000000005</v>
      </c>
      <c r="R20" s="137">
        <f t="shared" si="2"/>
        <v>0</v>
      </c>
      <c r="S20" s="23">
        <f t="shared" si="0"/>
        <v>2867.8200000000006</v>
      </c>
      <c r="T20" s="23">
        <f t="shared" si="0"/>
        <v>373.18</v>
      </c>
      <c r="U20" s="45">
        <f>IF(SUM(R20:T20)=0,0,SUM(R20:T20)/'Resid Cust Fcst '!T21)</f>
        <v>3241.0000000000005</v>
      </c>
      <c r="V20" s="137">
        <f>'Resid Cust Fcst '!$U21*'Resid TSM UC Adj'!R20</f>
        <v>0</v>
      </c>
      <c r="W20" s="23">
        <f>'Resid Cust Fcst '!$U21*'Resid TSM UC Adj'!S20</f>
        <v>0</v>
      </c>
      <c r="X20" s="23">
        <f>'Resid Cust Fcst '!$U21*'Resid TSM UC Adj'!T20</f>
        <v>0</v>
      </c>
      <c r="Y20" s="45">
        <f>IF(SUM(V20:X20)=0,0,SUM(V20:X20)/'Resid Cust Fcst '!U21)</f>
        <v>0</v>
      </c>
      <c r="Z20" s="137">
        <f t="shared" si="3"/>
        <v>0</v>
      </c>
      <c r="AA20" s="23">
        <f t="shared" si="1"/>
        <v>2867.8200000000006</v>
      </c>
      <c r="AB20" s="23">
        <f t="shared" si="1"/>
        <v>373.18</v>
      </c>
      <c r="AC20" s="45">
        <f>IF(SUM(Z20:AB20)=0,0,SUM(Z20:AB20)/'Resid Cust Fcst '!V21)</f>
        <v>3241.0000000000005</v>
      </c>
    </row>
    <row r="21" spans="1:29">
      <c r="A21" s="153" t="s">
        <v>123</v>
      </c>
      <c r="B21" s="137">
        <f>'Resid Cust Fcst '!$P22*'Resid TSM UC Adj'!J21</f>
        <v>0</v>
      </c>
      <c r="C21" s="23">
        <f>'Resid Cust Fcst '!$P22*'Resid TSM UC Adj'!K21</f>
        <v>0</v>
      </c>
      <c r="D21" s="23">
        <f>'Resid Cust Fcst '!$P22*'Resid TSM UC Adj'!L21</f>
        <v>0</v>
      </c>
      <c r="E21" s="45">
        <f>IF(SUM(B21:D21)=0,0,SUM(B21:D21)/'Resid Cust Fcst '!P22)</f>
        <v>0</v>
      </c>
      <c r="F21" s="137">
        <f>'Resid Cust Fcst '!$Q22*'Resid TSM UC Adj'!J21</f>
        <v>0</v>
      </c>
      <c r="G21" s="23">
        <f>'Resid Cust Fcst '!$Q22*'Resid TSM UC Adj'!K21</f>
        <v>0</v>
      </c>
      <c r="H21" s="23">
        <f>'Resid Cust Fcst '!$Q22*'Resid TSM UC Adj'!L21</f>
        <v>0</v>
      </c>
      <c r="I21" s="45">
        <f>IF(SUM(F21:H21)=0,0,SUM(F21:H21)/'Resid Cust Fcst '!Q22)</f>
        <v>0</v>
      </c>
      <c r="J21" s="137">
        <f>'Resid Cust Fcst '!$R22*'Resid TSM UC Adj'!J21</f>
        <v>0</v>
      </c>
      <c r="K21" s="23">
        <f>'Resid Cust Fcst '!$R22*'Resid TSM UC Adj'!K21</f>
        <v>0</v>
      </c>
      <c r="L21" s="23">
        <f>'Resid Cust Fcst '!$R22*'Resid TSM UC Adj'!L21</f>
        <v>0</v>
      </c>
      <c r="M21" s="45">
        <f>IF(SUM(J21:L21)=0,0,SUM(J21:L21)/'Resid Cust Fcst '!R22)</f>
        <v>0</v>
      </c>
      <c r="N21" s="137">
        <f>'Resid Cust Fcst '!$S22*'Resid TSM UC Adj'!N21</f>
        <v>0</v>
      </c>
      <c r="O21" s="23">
        <f>'Resid Cust Fcst '!$S22*'Resid TSM UC Adj'!O21</f>
        <v>0</v>
      </c>
      <c r="P21" s="23">
        <f>'Resid Cust Fcst '!$S22*'Resid TSM UC Adj'!P21</f>
        <v>0</v>
      </c>
      <c r="Q21" s="45">
        <f>IF(SUM(N21:P21)=0,0,SUM(N21:P21)/'Resid Cust Fcst '!S22)</f>
        <v>0</v>
      </c>
      <c r="R21" s="137">
        <f t="shared" si="2"/>
        <v>0</v>
      </c>
      <c r="S21" s="23">
        <f t="shared" si="0"/>
        <v>0</v>
      </c>
      <c r="T21" s="23">
        <f t="shared" si="0"/>
        <v>0</v>
      </c>
      <c r="U21" s="45">
        <f>IF(SUM(R21:T21)=0,0,SUM(R21:T21)/'Resid Cust Fcst '!T22)</f>
        <v>0</v>
      </c>
      <c r="V21" s="137">
        <f>'Resid Cust Fcst '!$U22*'Resid TSM UC Adj'!R21</f>
        <v>0</v>
      </c>
      <c r="W21" s="23">
        <f>'Resid Cust Fcst '!$U22*'Resid TSM UC Adj'!S21</f>
        <v>0</v>
      </c>
      <c r="X21" s="23">
        <f>'Resid Cust Fcst '!$U22*'Resid TSM UC Adj'!T21</f>
        <v>0</v>
      </c>
      <c r="Y21" s="45">
        <f>IF(SUM(V21:X21)=0,0,SUM(V21:X21)/'Resid Cust Fcst '!U22)</f>
        <v>0</v>
      </c>
      <c r="Z21" s="137">
        <f t="shared" si="3"/>
        <v>0</v>
      </c>
      <c r="AA21" s="23">
        <f t="shared" si="1"/>
        <v>0</v>
      </c>
      <c r="AB21" s="23">
        <f t="shared" si="1"/>
        <v>0</v>
      </c>
      <c r="AC21" s="45">
        <f>IF(SUM(Z21:AB21)=0,0,SUM(Z21:AB21)/'Resid Cust Fcst '!V22)</f>
        <v>0</v>
      </c>
    </row>
    <row r="22" spans="1:29">
      <c r="A22" s="153" t="s">
        <v>14</v>
      </c>
      <c r="B22" s="137">
        <f>'Resid Cust Fcst '!$P23*'Resid TSM UC Adj'!J22</f>
        <v>0</v>
      </c>
      <c r="C22" s="23">
        <f>'Resid Cust Fcst '!$P23*'Resid TSM UC Adj'!K22</f>
        <v>0</v>
      </c>
      <c r="D22" s="23">
        <f>'Resid Cust Fcst '!$P23*'Resid TSM UC Adj'!L22</f>
        <v>0</v>
      </c>
      <c r="E22" s="45">
        <f>IF(SUM(B22:D22)=0,0,SUM(B22:D22)/'Resid Cust Fcst '!P23)</f>
        <v>0</v>
      </c>
      <c r="F22" s="137">
        <f>'Resid Cust Fcst '!$Q23*'Resid TSM UC Adj'!J22</f>
        <v>0</v>
      </c>
      <c r="G22" s="23">
        <f>'Resid Cust Fcst '!$Q23*'Resid TSM UC Adj'!K22</f>
        <v>0</v>
      </c>
      <c r="H22" s="23">
        <f>'Resid Cust Fcst '!$Q23*'Resid TSM UC Adj'!L22</f>
        <v>0</v>
      </c>
      <c r="I22" s="45">
        <f>IF(SUM(F22:H22)=0,0,SUM(F22:H22)/'Resid Cust Fcst '!Q23)</f>
        <v>0</v>
      </c>
      <c r="J22" s="137">
        <f>'Resid Cust Fcst '!$R23*'Resid TSM UC Adj'!J22</f>
        <v>0</v>
      </c>
      <c r="K22" s="23">
        <f>'Resid Cust Fcst '!$R23*'Resid TSM UC Adj'!K22</f>
        <v>0</v>
      </c>
      <c r="L22" s="23">
        <f>'Resid Cust Fcst '!$R23*'Resid TSM UC Adj'!L22</f>
        <v>0</v>
      </c>
      <c r="M22" s="45">
        <f>IF(SUM(J22:L22)=0,0,SUM(J22:L22)/'Resid Cust Fcst '!R23)</f>
        <v>0</v>
      </c>
      <c r="N22" s="137">
        <f>'Resid Cust Fcst '!$S23*'Resid TSM UC Adj'!N22</f>
        <v>0</v>
      </c>
      <c r="O22" s="23">
        <f>'Resid Cust Fcst '!$S23*'Resid TSM UC Adj'!O22</f>
        <v>0</v>
      </c>
      <c r="P22" s="23">
        <f>'Resid Cust Fcst '!$S23*'Resid TSM UC Adj'!P22</f>
        <v>0</v>
      </c>
      <c r="Q22" s="45">
        <f>IF(SUM(N22:P22)=0,0,SUM(N22:P22)/'Resid Cust Fcst '!S23)</f>
        <v>0</v>
      </c>
      <c r="R22" s="137">
        <f t="shared" si="2"/>
        <v>0</v>
      </c>
      <c r="S22" s="23">
        <f t="shared" si="0"/>
        <v>0</v>
      </c>
      <c r="T22" s="23">
        <f t="shared" si="0"/>
        <v>0</v>
      </c>
      <c r="U22" s="45">
        <f>IF(SUM(R22:T22)=0,0,SUM(R22:T22)/'Resid Cust Fcst '!T23)</f>
        <v>0</v>
      </c>
      <c r="V22" s="137">
        <f>'Resid Cust Fcst '!$U23*'Resid TSM UC Adj'!R22</f>
        <v>0</v>
      </c>
      <c r="W22" s="23">
        <f>'Resid Cust Fcst '!$U23*'Resid TSM UC Adj'!S22</f>
        <v>0</v>
      </c>
      <c r="X22" s="23">
        <f>'Resid Cust Fcst '!$U23*'Resid TSM UC Adj'!T22</f>
        <v>0</v>
      </c>
      <c r="Y22" s="45">
        <f>IF(SUM(V22:X22)=0,0,SUM(V22:X22)/'Resid Cust Fcst '!U23)</f>
        <v>0</v>
      </c>
      <c r="Z22" s="137">
        <f t="shared" si="3"/>
        <v>0</v>
      </c>
      <c r="AA22" s="23">
        <f t="shared" si="1"/>
        <v>0</v>
      </c>
      <c r="AB22" s="23">
        <f t="shared" si="1"/>
        <v>0</v>
      </c>
      <c r="AC22" s="45">
        <f>IF(SUM(Z22:AB22)=0,0,SUM(Z22:AB22)/'Resid Cust Fcst '!V23)</f>
        <v>0</v>
      </c>
    </row>
    <row r="23" spans="1:29">
      <c r="A23" s="153" t="s">
        <v>15</v>
      </c>
      <c r="B23" s="137">
        <f>'Resid Cust Fcst '!$P24*'Resid TSM UC Adj'!J23</f>
        <v>0</v>
      </c>
      <c r="C23" s="23">
        <f>'Resid Cust Fcst '!$P24*'Resid TSM UC Adj'!K23</f>
        <v>0</v>
      </c>
      <c r="D23" s="23">
        <f>'Resid Cust Fcst '!$P24*'Resid TSM UC Adj'!L23</f>
        <v>0</v>
      </c>
      <c r="E23" s="45">
        <f>IF(SUM(B23:D23)=0,0,SUM(B23:D23)/'Resid Cust Fcst '!P24)</f>
        <v>0</v>
      </c>
      <c r="F23" s="137">
        <f>'Resid Cust Fcst '!$Q24*'Resid TSM UC Adj'!J23</f>
        <v>0</v>
      </c>
      <c r="G23" s="23">
        <f>'Resid Cust Fcst '!$Q24*'Resid TSM UC Adj'!K23</f>
        <v>0</v>
      </c>
      <c r="H23" s="23">
        <f>'Resid Cust Fcst '!$Q24*'Resid TSM UC Adj'!L23</f>
        <v>0</v>
      </c>
      <c r="I23" s="45">
        <f>IF(SUM(F23:H23)=0,0,SUM(F23:H23)/'Resid Cust Fcst '!Q24)</f>
        <v>0</v>
      </c>
      <c r="J23" s="137">
        <f>'Resid Cust Fcst '!$R24*'Resid TSM UC Adj'!J23</f>
        <v>0</v>
      </c>
      <c r="K23" s="23">
        <f>'Resid Cust Fcst '!$R24*'Resid TSM UC Adj'!K23</f>
        <v>0</v>
      </c>
      <c r="L23" s="23">
        <f>'Resid Cust Fcst '!$R24*'Resid TSM UC Adj'!L23</f>
        <v>0</v>
      </c>
      <c r="M23" s="45">
        <f>IF(SUM(J23:L23)=0,0,SUM(J23:L23)/'Resid Cust Fcst '!R24)</f>
        <v>0</v>
      </c>
      <c r="N23" s="137">
        <f>'Resid Cust Fcst '!$S24*'Resid TSM UC Adj'!N23</f>
        <v>0</v>
      </c>
      <c r="O23" s="23">
        <f>'Resid Cust Fcst '!$S24*'Resid TSM UC Adj'!O23</f>
        <v>0</v>
      </c>
      <c r="P23" s="23">
        <f>'Resid Cust Fcst '!$S24*'Resid TSM UC Adj'!P23</f>
        <v>0</v>
      </c>
      <c r="Q23" s="45">
        <f>IF(SUM(N23:P23)=0,0,SUM(N23:P23)/'Resid Cust Fcst '!S24)</f>
        <v>0</v>
      </c>
      <c r="R23" s="137">
        <f t="shared" si="2"/>
        <v>0</v>
      </c>
      <c r="S23" s="23">
        <f t="shared" ref="S23:S37" si="4">C23+G23+K23+O23</f>
        <v>0</v>
      </c>
      <c r="T23" s="23">
        <f t="shared" ref="T23:T37" si="5">D23+H23+L23+P23</f>
        <v>0</v>
      </c>
      <c r="U23" s="45">
        <f>IF(SUM(R23:T23)=0,0,SUM(R23:T23)/'Resid Cust Fcst '!T24)</f>
        <v>0</v>
      </c>
      <c r="V23" s="137">
        <f>'Resid Cust Fcst '!$U24*'Resid TSM UC Adj'!R23</f>
        <v>0</v>
      </c>
      <c r="W23" s="23">
        <f>'Resid Cust Fcst '!$U24*'Resid TSM UC Adj'!S23</f>
        <v>0</v>
      </c>
      <c r="X23" s="23">
        <f>'Resid Cust Fcst '!$U24*'Resid TSM UC Adj'!T23</f>
        <v>0</v>
      </c>
      <c r="Y23" s="45">
        <f>IF(SUM(V23:X23)=0,0,SUM(V23:X23)/'Resid Cust Fcst '!U24)</f>
        <v>0</v>
      </c>
      <c r="Z23" s="137">
        <f t="shared" si="3"/>
        <v>0</v>
      </c>
      <c r="AA23" s="23">
        <f t="shared" ref="AA23:AA37" si="6">S23+W23</f>
        <v>0</v>
      </c>
      <c r="AB23" s="23">
        <f t="shared" ref="AB23:AB37" si="7">T23+X23</f>
        <v>0</v>
      </c>
      <c r="AC23" s="45">
        <f>IF(SUM(Z23:AB23)=0,0,SUM(Z23:AB23)/'Resid Cust Fcst '!V24)</f>
        <v>0</v>
      </c>
    </row>
    <row r="24" spans="1:29">
      <c r="A24" s="153" t="s">
        <v>16</v>
      </c>
      <c r="B24" s="137">
        <f>'Resid Cust Fcst '!$P25*'Resid TSM UC Adj'!J24</f>
        <v>0</v>
      </c>
      <c r="C24" s="23">
        <f>'Resid Cust Fcst '!$P25*'Resid TSM UC Adj'!K24</f>
        <v>0</v>
      </c>
      <c r="D24" s="23">
        <f>'Resid Cust Fcst '!$P25*'Resid TSM UC Adj'!L24</f>
        <v>0</v>
      </c>
      <c r="E24" s="45">
        <f>IF(SUM(B24:D24)=0,0,SUM(B24:D24)/'Resid Cust Fcst '!P25)</f>
        <v>0</v>
      </c>
      <c r="F24" s="137">
        <f>'Resid Cust Fcst '!$Q25*'Resid TSM UC Adj'!J24</f>
        <v>0</v>
      </c>
      <c r="G24" s="23">
        <f>'Resid Cust Fcst '!$Q25*'Resid TSM UC Adj'!K24</f>
        <v>0</v>
      </c>
      <c r="H24" s="23">
        <f>'Resid Cust Fcst '!$Q25*'Resid TSM UC Adj'!L24</f>
        <v>0</v>
      </c>
      <c r="I24" s="45">
        <f>IF(SUM(F24:H24)=0,0,SUM(F24:H24)/'Resid Cust Fcst '!Q25)</f>
        <v>0</v>
      </c>
      <c r="J24" s="137">
        <f>'Resid Cust Fcst '!$R25*'Resid TSM UC Adj'!J24</f>
        <v>0</v>
      </c>
      <c r="K24" s="23">
        <f>'Resid Cust Fcst '!$R25*'Resid TSM UC Adj'!K24</f>
        <v>0</v>
      </c>
      <c r="L24" s="23">
        <f>'Resid Cust Fcst '!$R25*'Resid TSM UC Adj'!L24</f>
        <v>0</v>
      </c>
      <c r="M24" s="45">
        <f>IF(SUM(J24:L24)=0,0,SUM(J24:L24)/'Resid Cust Fcst '!R25)</f>
        <v>0</v>
      </c>
      <c r="N24" s="137">
        <f>'Resid Cust Fcst '!$S25*'Resid TSM UC Adj'!N24</f>
        <v>0</v>
      </c>
      <c r="O24" s="23">
        <f>'Resid Cust Fcst '!$S25*'Resid TSM UC Adj'!O24</f>
        <v>0</v>
      </c>
      <c r="P24" s="23">
        <f>'Resid Cust Fcst '!$S25*'Resid TSM UC Adj'!P24</f>
        <v>0</v>
      </c>
      <c r="Q24" s="45">
        <f>IF(SUM(N24:P24)=0,0,SUM(N24:P24)/'Resid Cust Fcst '!S25)</f>
        <v>0</v>
      </c>
      <c r="R24" s="137">
        <f t="shared" si="2"/>
        <v>0</v>
      </c>
      <c r="S24" s="23">
        <f t="shared" si="4"/>
        <v>0</v>
      </c>
      <c r="T24" s="23">
        <f t="shared" si="5"/>
        <v>0</v>
      </c>
      <c r="U24" s="45">
        <f>IF(SUM(R24:T24)=0,0,SUM(R24:T24)/'Resid Cust Fcst '!T25)</f>
        <v>0</v>
      </c>
      <c r="V24" s="137">
        <f>'Resid Cust Fcst '!$U25*'Resid TSM UC Adj'!R24</f>
        <v>0</v>
      </c>
      <c r="W24" s="23">
        <f>'Resid Cust Fcst '!$U25*'Resid TSM UC Adj'!S24</f>
        <v>0</v>
      </c>
      <c r="X24" s="23">
        <f>'Resid Cust Fcst '!$U25*'Resid TSM UC Adj'!T24</f>
        <v>0</v>
      </c>
      <c r="Y24" s="45">
        <f>IF(SUM(V24:X24)=0,0,SUM(V24:X24)/'Resid Cust Fcst '!U25)</f>
        <v>0</v>
      </c>
      <c r="Z24" s="137">
        <f t="shared" si="3"/>
        <v>0</v>
      </c>
      <c r="AA24" s="23">
        <f t="shared" si="6"/>
        <v>0</v>
      </c>
      <c r="AB24" s="23">
        <f t="shared" si="7"/>
        <v>0</v>
      </c>
      <c r="AC24" s="45">
        <f>IF(SUM(Z24:AB24)=0,0,SUM(Z24:AB24)/'Resid Cust Fcst '!V25)</f>
        <v>0</v>
      </c>
    </row>
    <row r="25" spans="1:29">
      <c r="A25" s="153" t="s">
        <v>17</v>
      </c>
      <c r="B25" s="137">
        <f>'Resid Cust Fcst '!$P26*'Resid TSM UC Adj'!J25</f>
        <v>0</v>
      </c>
      <c r="C25" s="23">
        <f>'Resid Cust Fcst '!$P26*'Resid TSM UC Adj'!K25</f>
        <v>0</v>
      </c>
      <c r="D25" s="23">
        <f>'Resid Cust Fcst '!$P26*'Resid TSM UC Adj'!L25</f>
        <v>0</v>
      </c>
      <c r="E25" s="45">
        <f>IF(SUM(B25:D25)=0,0,SUM(B25:D25)/'Resid Cust Fcst '!P26)</f>
        <v>0</v>
      </c>
      <c r="F25" s="137">
        <f>'Resid Cust Fcst '!$Q26*'Resid TSM UC Adj'!J25</f>
        <v>0</v>
      </c>
      <c r="G25" s="23">
        <f>'Resid Cust Fcst '!$Q26*'Resid TSM UC Adj'!K25</f>
        <v>0</v>
      </c>
      <c r="H25" s="23">
        <f>'Resid Cust Fcst '!$Q26*'Resid TSM UC Adj'!L25</f>
        <v>0</v>
      </c>
      <c r="I25" s="45">
        <f>IF(SUM(F25:H25)=0,0,SUM(F25:H25)/'Resid Cust Fcst '!Q26)</f>
        <v>0</v>
      </c>
      <c r="J25" s="137">
        <f>'Resid Cust Fcst '!$R26*'Resid TSM UC Adj'!J25</f>
        <v>0</v>
      </c>
      <c r="K25" s="23">
        <f>'Resid Cust Fcst '!$R26*'Resid TSM UC Adj'!K25</f>
        <v>0</v>
      </c>
      <c r="L25" s="23">
        <f>'Resid Cust Fcst '!$R26*'Resid TSM UC Adj'!L25</f>
        <v>0</v>
      </c>
      <c r="M25" s="45">
        <f>IF(SUM(J25:L25)=0,0,SUM(J25:L25)/'Resid Cust Fcst '!R26)</f>
        <v>0</v>
      </c>
      <c r="N25" s="137">
        <f>'Resid Cust Fcst '!$S26*'Resid TSM UC Adj'!N25</f>
        <v>0</v>
      </c>
      <c r="O25" s="23">
        <f>'Resid Cust Fcst '!$S26*'Resid TSM UC Adj'!O25</f>
        <v>0</v>
      </c>
      <c r="P25" s="23">
        <f>'Resid Cust Fcst '!$S26*'Resid TSM UC Adj'!P25</f>
        <v>0</v>
      </c>
      <c r="Q25" s="45">
        <f>IF(SUM(N25:P25)=0,0,SUM(N25:P25)/'Resid Cust Fcst '!S26)</f>
        <v>0</v>
      </c>
      <c r="R25" s="137">
        <f t="shared" si="2"/>
        <v>0</v>
      </c>
      <c r="S25" s="23">
        <f t="shared" si="4"/>
        <v>0</v>
      </c>
      <c r="T25" s="23">
        <f t="shared" si="5"/>
        <v>0</v>
      </c>
      <c r="U25" s="45">
        <f>IF(SUM(R25:T25)=0,0,SUM(R25:T25)/'Resid Cust Fcst '!T26)</f>
        <v>0</v>
      </c>
      <c r="V25" s="137">
        <f>'Resid Cust Fcst '!$U26*'Resid TSM UC Adj'!R25</f>
        <v>0</v>
      </c>
      <c r="W25" s="23">
        <f>'Resid Cust Fcst '!$U26*'Resid TSM UC Adj'!S25</f>
        <v>0</v>
      </c>
      <c r="X25" s="23">
        <f>'Resid Cust Fcst '!$U26*'Resid TSM UC Adj'!T25</f>
        <v>0</v>
      </c>
      <c r="Y25" s="45">
        <f>IF(SUM(V25:X25)=0,0,SUM(V25:X25)/'Resid Cust Fcst '!U26)</f>
        <v>0</v>
      </c>
      <c r="Z25" s="137">
        <f t="shared" si="3"/>
        <v>0</v>
      </c>
      <c r="AA25" s="23">
        <f t="shared" si="6"/>
        <v>0</v>
      </c>
      <c r="AB25" s="23">
        <f t="shared" si="7"/>
        <v>0</v>
      </c>
      <c r="AC25" s="45">
        <f>IF(SUM(Z25:AB25)=0,0,SUM(Z25:AB25)/'Resid Cust Fcst '!V26)</f>
        <v>0</v>
      </c>
    </row>
    <row r="26" spans="1:29">
      <c r="A26" s="153" t="s">
        <v>18</v>
      </c>
      <c r="B26" s="137">
        <f>'Resid Cust Fcst '!$P27*'Resid TSM UC Adj'!J26</f>
        <v>0</v>
      </c>
      <c r="C26" s="23">
        <f>'Resid Cust Fcst '!$P27*'Resid TSM UC Adj'!K26</f>
        <v>0</v>
      </c>
      <c r="D26" s="23">
        <f>'Resid Cust Fcst '!$P27*'Resid TSM UC Adj'!L26</f>
        <v>0</v>
      </c>
      <c r="E26" s="45">
        <f>IF(SUM(B26:D26)=0,0,SUM(B26:D26)/'Resid Cust Fcst '!P27)</f>
        <v>0</v>
      </c>
      <c r="F26" s="137">
        <f>'Resid Cust Fcst '!$Q27*'Resid TSM UC Adj'!J26</f>
        <v>0</v>
      </c>
      <c r="G26" s="23">
        <f>'Resid Cust Fcst '!$Q27*'Resid TSM UC Adj'!K26</f>
        <v>0</v>
      </c>
      <c r="H26" s="23">
        <f>'Resid Cust Fcst '!$Q27*'Resid TSM UC Adj'!L26</f>
        <v>0</v>
      </c>
      <c r="I26" s="45">
        <f>IF(SUM(F26:H26)=0,0,SUM(F26:H26)/'Resid Cust Fcst '!Q27)</f>
        <v>0</v>
      </c>
      <c r="J26" s="137">
        <f>'Resid Cust Fcst '!$R27*'Resid TSM UC Adj'!J26</f>
        <v>0</v>
      </c>
      <c r="K26" s="23">
        <f>'Resid Cust Fcst '!$R27*'Resid TSM UC Adj'!K26</f>
        <v>0</v>
      </c>
      <c r="L26" s="23">
        <f>'Resid Cust Fcst '!$R27*'Resid TSM UC Adj'!L26</f>
        <v>0</v>
      </c>
      <c r="M26" s="45">
        <f>IF(SUM(J26:L26)=0,0,SUM(J26:L26)/'Resid Cust Fcst '!R27)</f>
        <v>0</v>
      </c>
      <c r="N26" s="137">
        <f>'Resid Cust Fcst '!$S27*'Resid TSM UC Adj'!N26</f>
        <v>0</v>
      </c>
      <c r="O26" s="23">
        <f>'Resid Cust Fcst '!$S27*'Resid TSM UC Adj'!O26</f>
        <v>0</v>
      </c>
      <c r="P26" s="23">
        <f>'Resid Cust Fcst '!$S27*'Resid TSM UC Adj'!P26</f>
        <v>0</v>
      </c>
      <c r="Q26" s="45">
        <f>IF(SUM(N26:P26)=0,0,SUM(N26:P26)/'Resid Cust Fcst '!S27)</f>
        <v>0</v>
      </c>
      <c r="R26" s="137">
        <f t="shared" si="2"/>
        <v>0</v>
      </c>
      <c r="S26" s="23">
        <f t="shared" si="4"/>
        <v>0</v>
      </c>
      <c r="T26" s="23">
        <f t="shared" si="5"/>
        <v>0</v>
      </c>
      <c r="U26" s="45">
        <f>IF(SUM(R26:T26)=0,0,SUM(R26:T26)/'Resid Cust Fcst '!T27)</f>
        <v>0</v>
      </c>
      <c r="V26" s="137">
        <f>'Resid Cust Fcst '!$U27*'Resid TSM UC Adj'!R26</f>
        <v>0</v>
      </c>
      <c r="W26" s="23">
        <f>'Resid Cust Fcst '!$U27*'Resid TSM UC Adj'!S26</f>
        <v>0</v>
      </c>
      <c r="X26" s="23">
        <f>'Resid Cust Fcst '!$U27*'Resid TSM UC Adj'!T26</f>
        <v>0</v>
      </c>
      <c r="Y26" s="45">
        <f>IF(SUM(V26:X26)=0,0,SUM(V26:X26)/'Resid Cust Fcst '!U27)</f>
        <v>0</v>
      </c>
      <c r="Z26" s="137">
        <f t="shared" si="3"/>
        <v>0</v>
      </c>
      <c r="AA26" s="23">
        <f t="shared" si="6"/>
        <v>0</v>
      </c>
      <c r="AB26" s="23">
        <f t="shared" si="7"/>
        <v>0</v>
      </c>
      <c r="AC26" s="45">
        <f>IF(SUM(Z26:AB26)=0,0,SUM(Z26:AB26)/'Resid Cust Fcst '!V27)</f>
        <v>0</v>
      </c>
    </row>
    <row r="27" spans="1:29">
      <c r="A27" s="153" t="s">
        <v>19</v>
      </c>
      <c r="B27" s="137">
        <f>'Resid Cust Fcst '!$P28*'Resid TSM UC Adj'!J27</f>
        <v>0</v>
      </c>
      <c r="C27" s="23">
        <f>'Resid Cust Fcst '!$P28*'Resid TSM UC Adj'!K27</f>
        <v>0</v>
      </c>
      <c r="D27" s="23">
        <f>'Resid Cust Fcst '!$P28*'Resid TSM UC Adj'!L27</f>
        <v>0</v>
      </c>
      <c r="E27" s="45">
        <f>IF(SUM(B27:D27)=0,0,SUM(B27:D27)/'Resid Cust Fcst '!P28)</f>
        <v>0</v>
      </c>
      <c r="F27" s="137">
        <f>'Resid Cust Fcst '!$Q28*'Resid TSM UC Adj'!J27</f>
        <v>0</v>
      </c>
      <c r="G27" s="23">
        <f>'Resid Cust Fcst '!$Q28*'Resid TSM UC Adj'!K27</f>
        <v>0</v>
      </c>
      <c r="H27" s="23">
        <f>'Resid Cust Fcst '!$Q28*'Resid TSM UC Adj'!L27</f>
        <v>0</v>
      </c>
      <c r="I27" s="45">
        <f>IF(SUM(F27:H27)=0,0,SUM(F27:H27)/'Resid Cust Fcst '!Q28)</f>
        <v>0</v>
      </c>
      <c r="J27" s="137">
        <f>'Resid Cust Fcst '!$R28*'Resid TSM UC Adj'!J27</f>
        <v>0</v>
      </c>
      <c r="K27" s="23">
        <f>'Resid Cust Fcst '!$R28*'Resid TSM UC Adj'!K27</f>
        <v>0</v>
      </c>
      <c r="L27" s="23">
        <f>'Resid Cust Fcst '!$R28*'Resid TSM UC Adj'!L27</f>
        <v>0</v>
      </c>
      <c r="M27" s="45">
        <f>IF(SUM(J27:L27)=0,0,SUM(J27:L27)/'Resid Cust Fcst '!R28)</f>
        <v>0</v>
      </c>
      <c r="N27" s="137">
        <f>'Resid Cust Fcst '!$S28*'Resid TSM UC Adj'!N27</f>
        <v>0</v>
      </c>
      <c r="O27" s="23">
        <f>'Resid Cust Fcst '!$S28*'Resid TSM UC Adj'!O27</f>
        <v>0</v>
      </c>
      <c r="P27" s="23">
        <f>'Resid Cust Fcst '!$S28*'Resid TSM UC Adj'!P27</f>
        <v>0</v>
      </c>
      <c r="Q27" s="45">
        <f>IF(SUM(N27:P27)=0,0,SUM(N27:P27)/'Resid Cust Fcst '!S28)</f>
        <v>0</v>
      </c>
      <c r="R27" s="137">
        <f t="shared" si="2"/>
        <v>0</v>
      </c>
      <c r="S27" s="23">
        <f t="shared" si="4"/>
        <v>0</v>
      </c>
      <c r="T27" s="23">
        <f t="shared" si="5"/>
        <v>0</v>
      </c>
      <c r="U27" s="45">
        <f>IF(SUM(R27:T27)=0,0,SUM(R27:T27)/'Resid Cust Fcst '!T28)</f>
        <v>0</v>
      </c>
      <c r="V27" s="137">
        <f>'Resid Cust Fcst '!$U28*'Resid TSM UC Adj'!R27</f>
        <v>0</v>
      </c>
      <c r="W27" s="23">
        <f>'Resid Cust Fcst '!$U28*'Resid TSM UC Adj'!S27</f>
        <v>0</v>
      </c>
      <c r="X27" s="23">
        <f>'Resid Cust Fcst '!$U28*'Resid TSM UC Adj'!T27</f>
        <v>0</v>
      </c>
      <c r="Y27" s="45">
        <f>IF(SUM(V27:X27)=0,0,SUM(V27:X27)/'Resid Cust Fcst '!U28)</f>
        <v>0</v>
      </c>
      <c r="Z27" s="137">
        <f t="shared" si="3"/>
        <v>0</v>
      </c>
      <c r="AA27" s="23">
        <f t="shared" si="6"/>
        <v>0</v>
      </c>
      <c r="AB27" s="23">
        <f t="shared" si="7"/>
        <v>0</v>
      </c>
      <c r="AC27" s="45">
        <f>IF(SUM(Z27:AB27)=0,0,SUM(Z27:AB27)/'Resid Cust Fcst '!V28)</f>
        <v>0</v>
      </c>
    </row>
    <row r="28" spans="1:29">
      <c r="A28" s="153" t="s">
        <v>20</v>
      </c>
      <c r="B28" s="137">
        <f>'Resid Cust Fcst '!$P29*'Resid TSM UC Adj'!J28</f>
        <v>0</v>
      </c>
      <c r="C28" s="23">
        <f>'Resid Cust Fcst '!$P29*'Resid TSM UC Adj'!K28</f>
        <v>0</v>
      </c>
      <c r="D28" s="23">
        <f>'Resid Cust Fcst '!$P29*'Resid TSM UC Adj'!L28</f>
        <v>0</v>
      </c>
      <c r="E28" s="45">
        <f>IF(SUM(B28:D28)=0,0,SUM(B28:D28)/'Resid Cust Fcst '!P29)</f>
        <v>0</v>
      </c>
      <c r="F28" s="137">
        <f>'Resid Cust Fcst '!$Q29*'Resid TSM UC Adj'!J28</f>
        <v>0</v>
      </c>
      <c r="G28" s="23">
        <f>'Resid Cust Fcst '!$Q29*'Resid TSM UC Adj'!K28</f>
        <v>0</v>
      </c>
      <c r="H28" s="23">
        <f>'Resid Cust Fcst '!$Q29*'Resid TSM UC Adj'!L28</f>
        <v>0</v>
      </c>
      <c r="I28" s="45">
        <f>IF(SUM(F28:H28)=0,0,SUM(F28:H28)/'Resid Cust Fcst '!Q29)</f>
        <v>0</v>
      </c>
      <c r="J28" s="137">
        <f>'Resid Cust Fcst '!$R29*'Resid TSM UC Adj'!J28</f>
        <v>0</v>
      </c>
      <c r="K28" s="23">
        <f>'Resid Cust Fcst '!$R29*'Resid TSM UC Adj'!K28</f>
        <v>0</v>
      </c>
      <c r="L28" s="23">
        <f>'Resid Cust Fcst '!$R29*'Resid TSM UC Adj'!L28</f>
        <v>0</v>
      </c>
      <c r="M28" s="45">
        <f>IF(SUM(J28:L28)=0,0,SUM(J28:L28)/'Resid Cust Fcst '!R29)</f>
        <v>0</v>
      </c>
      <c r="N28" s="137">
        <f>'Resid Cust Fcst '!$S29*'Resid TSM UC Adj'!N28</f>
        <v>0</v>
      </c>
      <c r="O28" s="23">
        <f>'Resid Cust Fcst '!$S29*'Resid TSM UC Adj'!O28</f>
        <v>0</v>
      </c>
      <c r="P28" s="23">
        <f>'Resid Cust Fcst '!$S29*'Resid TSM UC Adj'!P28</f>
        <v>0</v>
      </c>
      <c r="Q28" s="45">
        <f>IF(SUM(N28:P28)=0,0,SUM(N28:P28)/'Resid Cust Fcst '!S29)</f>
        <v>0</v>
      </c>
      <c r="R28" s="137">
        <f t="shared" si="2"/>
        <v>0</v>
      </c>
      <c r="S28" s="23">
        <f t="shared" si="4"/>
        <v>0</v>
      </c>
      <c r="T28" s="23">
        <f t="shared" si="5"/>
        <v>0</v>
      </c>
      <c r="U28" s="45">
        <f>IF(SUM(R28:T28)=0,0,SUM(R28:T28)/'Resid Cust Fcst '!T29)</f>
        <v>0</v>
      </c>
      <c r="V28" s="137">
        <f>'Resid Cust Fcst '!$U29*'Resid TSM UC Adj'!R28</f>
        <v>0</v>
      </c>
      <c r="W28" s="23">
        <f>'Resid Cust Fcst '!$U29*'Resid TSM UC Adj'!S28</f>
        <v>0</v>
      </c>
      <c r="X28" s="23">
        <f>'Resid Cust Fcst '!$U29*'Resid TSM UC Adj'!T28</f>
        <v>0</v>
      </c>
      <c r="Y28" s="45">
        <f>IF(SUM(V28:X28)=0,0,SUM(V28:X28)/'Resid Cust Fcst '!U29)</f>
        <v>0</v>
      </c>
      <c r="Z28" s="137">
        <f t="shared" si="3"/>
        <v>0</v>
      </c>
      <c r="AA28" s="23">
        <f t="shared" si="6"/>
        <v>0</v>
      </c>
      <c r="AB28" s="23">
        <f t="shared" si="7"/>
        <v>0</v>
      </c>
      <c r="AC28" s="45">
        <f>IF(SUM(Z28:AB28)=0,0,SUM(Z28:AB28)/'Resid Cust Fcst '!V29)</f>
        <v>0</v>
      </c>
    </row>
    <row r="29" spans="1:29">
      <c r="A29" s="153" t="s">
        <v>21</v>
      </c>
      <c r="B29" s="137">
        <f>'Resid Cust Fcst '!$P30*'Resid TSM UC Adj'!J29</f>
        <v>0</v>
      </c>
      <c r="C29" s="23">
        <f>'Resid Cust Fcst '!$P30*'Resid TSM UC Adj'!K29</f>
        <v>0</v>
      </c>
      <c r="D29" s="23">
        <f>'Resid Cust Fcst '!$P30*'Resid TSM UC Adj'!L29</f>
        <v>0</v>
      </c>
      <c r="E29" s="45">
        <f>IF(SUM(B29:D29)=0,0,SUM(B29:D29)/'Resid Cust Fcst '!P30)</f>
        <v>0</v>
      </c>
      <c r="F29" s="137">
        <f>'Resid Cust Fcst '!$Q30*'Resid TSM UC Adj'!J29</f>
        <v>0</v>
      </c>
      <c r="G29" s="23">
        <f>'Resid Cust Fcst '!$Q30*'Resid TSM UC Adj'!K29</f>
        <v>0</v>
      </c>
      <c r="H29" s="23">
        <f>'Resid Cust Fcst '!$Q30*'Resid TSM UC Adj'!L29</f>
        <v>0</v>
      </c>
      <c r="I29" s="45">
        <f>IF(SUM(F29:H29)=0,0,SUM(F29:H29)/'Resid Cust Fcst '!Q30)</f>
        <v>0</v>
      </c>
      <c r="J29" s="137">
        <f>'Resid Cust Fcst '!$R30*'Resid TSM UC Adj'!J29</f>
        <v>0</v>
      </c>
      <c r="K29" s="23">
        <f>'Resid Cust Fcst '!$R30*'Resid TSM UC Adj'!K29</f>
        <v>0</v>
      </c>
      <c r="L29" s="23">
        <f>'Resid Cust Fcst '!$R30*'Resid TSM UC Adj'!L29</f>
        <v>0</v>
      </c>
      <c r="M29" s="45">
        <f>IF(SUM(J29:L29)=0,0,SUM(J29:L29)/'Resid Cust Fcst '!R30)</f>
        <v>0</v>
      </c>
      <c r="N29" s="137">
        <f>'Resid Cust Fcst '!$S30*'Resid TSM UC Adj'!N29</f>
        <v>0</v>
      </c>
      <c r="O29" s="23">
        <f>'Resid Cust Fcst '!$S30*'Resid TSM UC Adj'!O29</f>
        <v>0</v>
      </c>
      <c r="P29" s="23">
        <f>'Resid Cust Fcst '!$S30*'Resid TSM UC Adj'!P29</f>
        <v>0</v>
      </c>
      <c r="Q29" s="45">
        <f>IF(SUM(N29:P29)=0,0,SUM(N29:P29)/'Resid Cust Fcst '!S30)</f>
        <v>0</v>
      </c>
      <c r="R29" s="137">
        <f t="shared" si="2"/>
        <v>0</v>
      </c>
      <c r="S29" s="23">
        <f t="shared" si="4"/>
        <v>0</v>
      </c>
      <c r="T29" s="23">
        <f t="shared" si="5"/>
        <v>0</v>
      </c>
      <c r="U29" s="45">
        <f>IF(SUM(R29:T29)=0,0,SUM(R29:T29)/'Resid Cust Fcst '!T30)</f>
        <v>0</v>
      </c>
      <c r="V29" s="137">
        <f>'Resid Cust Fcst '!$U30*'Resid TSM UC Adj'!R29</f>
        <v>0</v>
      </c>
      <c r="W29" s="23">
        <f>'Resid Cust Fcst '!$U30*'Resid TSM UC Adj'!S29</f>
        <v>0</v>
      </c>
      <c r="X29" s="23">
        <f>'Resid Cust Fcst '!$U30*'Resid TSM UC Adj'!T29</f>
        <v>0</v>
      </c>
      <c r="Y29" s="45">
        <f>IF(SUM(V29:X29)=0,0,SUM(V29:X29)/'Resid Cust Fcst '!U30)</f>
        <v>0</v>
      </c>
      <c r="Z29" s="137">
        <f t="shared" si="3"/>
        <v>0</v>
      </c>
      <c r="AA29" s="23">
        <f t="shared" si="6"/>
        <v>0</v>
      </c>
      <c r="AB29" s="23">
        <f t="shared" si="7"/>
        <v>0</v>
      </c>
      <c r="AC29" s="45">
        <f>IF(SUM(Z29:AB29)=0,0,SUM(Z29:AB29)/'Resid Cust Fcst '!V30)</f>
        <v>0</v>
      </c>
    </row>
    <row r="30" spans="1:29">
      <c r="A30" s="153" t="s">
        <v>22</v>
      </c>
      <c r="B30" s="137">
        <f>'Resid Cust Fcst '!$P31*'Resid TSM UC Adj'!J30</f>
        <v>0</v>
      </c>
      <c r="C30" s="23">
        <f>'Resid Cust Fcst '!$P31*'Resid TSM UC Adj'!K30</f>
        <v>0</v>
      </c>
      <c r="D30" s="23">
        <f>'Resid Cust Fcst '!$P31*'Resid TSM UC Adj'!L30</f>
        <v>0</v>
      </c>
      <c r="E30" s="45">
        <f>IF(SUM(B30:D30)=0,0,SUM(B30:D30)/'Resid Cust Fcst '!P31)</f>
        <v>0</v>
      </c>
      <c r="F30" s="137">
        <f>'Resid Cust Fcst '!$Q31*'Resid TSM UC Adj'!J30</f>
        <v>0</v>
      </c>
      <c r="G30" s="23">
        <f>'Resid Cust Fcst '!$Q31*'Resid TSM UC Adj'!K30</f>
        <v>0</v>
      </c>
      <c r="H30" s="23">
        <f>'Resid Cust Fcst '!$Q31*'Resid TSM UC Adj'!L30</f>
        <v>0</v>
      </c>
      <c r="I30" s="45">
        <f>IF(SUM(F30:H30)=0,0,SUM(F30:H30)/'Resid Cust Fcst '!Q31)</f>
        <v>0</v>
      </c>
      <c r="J30" s="137">
        <f>'Resid Cust Fcst '!$R31*'Resid TSM UC Adj'!J30</f>
        <v>0</v>
      </c>
      <c r="K30" s="23">
        <f>'Resid Cust Fcst '!$R31*'Resid TSM UC Adj'!K30</f>
        <v>0</v>
      </c>
      <c r="L30" s="23">
        <f>'Resid Cust Fcst '!$R31*'Resid TSM UC Adj'!L30</f>
        <v>0</v>
      </c>
      <c r="M30" s="45">
        <f>IF(SUM(J30:L30)=0,0,SUM(J30:L30)/'Resid Cust Fcst '!R31)</f>
        <v>0</v>
      </c>
      <c r="N30" s="137">
        <f>'Resid Cust Fcst '!$S31*'Resid TSM UC Adj'!N30</f>
        <v>0</v>
      </c>
      <c r="O30" s="23">
        <f>'Resid Cust Fcst '!$S31*'Resid TSM UC Adj'!O30</f>
        <v>0</v>
      </c>
      <c r="P30" s="23">
        <f>'Resid Cust Fcst '!$S31*'Resid TSM UC Adj'!P30</f>
        <v>0</v>
      </c>
      <c r="Q30" s="45">
        <f>IF(SUM(N30:P30)=0,0,SUM(N30:P30)/'Resid Cust Fcst '!S31)</f>
        <v>0</v>
      </c>
      <c r="R30" s="137">
        <f t="shared" si="2"/>
        <v>0</v>
      </c>
      <c r="S30" s="23">
        <f t="shared" si="4"/>
        <v>0</v>
      </c>
      <c r="T30" s="23">
        <f t="shared" si="5"/>
        <v>0</v>
      </c>
      <c r="U30" s="45">
        <f>IF(SUM(R30:T30)=0,0,SUM(R30:T30)/'Resid Cust Fcst '!T31)</f>
        <v>0</v>
      </c>
      <c r="V30" s="137">
        <f>'Resid Cust Fcst '!$U31*'Resid TSM UC Adj'!R30</f>
        <v>0</v>
      </c>
      <c r="W30" s="23">
        <f>'Resid Cust Fcst '!$U31*'Resid TSM UC Adj'!S30</f>
        <v>0</v>
      </c>
      <c r="X30" s="23">
        <f>'Resid Cust Fcst '!$U31*'Resid TSM UC Adj'!T30</f>
        <v>0</v>
      </c>
      <c r="Y30" s="45">
        <f>IF(SUM(V30:X30)=0,0,SUM(V30:X30)/'Resid Cust Fcst '!U31)</f>
        <v>0</v>
      </c>
      <c r="Z30" s="137">
        <f t="shared" si="3"/>
        <v>0</v>
      </c>
      <c r="AA30" s="23">
        <f t="shared" si="6"/>
        <v>0</v>
      </c>
      <c r="AB30" s="23">
        <f t="shared" si="7"/>
        <v>0</v>
      </c>
      <c r="AC30" s="45">
        <f>IF(SUM(Z30:AB30)=0,0,SUM(Z30:AB30)/'Resid Cust Fcst '!V31)</f>
        <v>0</v>
      </c>
    </row>
    <row r="31" spans="1:29">
      <c r="A31" s="153" t="s">
        <v>23</v>
      </c>
      <c r="B31" s="137">
        <f>'Resid Cust Fcst '!$P32*'Resid TSM UC Adj'!J31</f>
        <v>0</v>
      </c>
      <c r="C31" s="23">
        <f>'Resid Cust Fcst '!$P32*'Resid TSM UC Adj'!K31</f>
        <v>0</v>
      </c>
      <c r="D31" s="23">
        <f>'Resid Cust Fcst '!$P32*'Resid TSM UC Adj'!L31</f>
        <v>0</v>
      </c>
      <c r="E31" s="45">
        <f>IF(SUM(B31:D31)=0,0,SUM(B31:D31)/'Resid Cust Fcst '!P32)</f>
        <v>0</v>
      </c>
      <c r="F31" s="137">
        <f>'Resid Cust Fcst '!$Q32*'Resid TSM UC Adj'!J31</f>
        <v>0</v>
      </c>
      <c r="G31" s="23">
        <f>'Resid Cust Fcst '!$Q32*'Resid TSM UC Adj'!K31</f>
        <v>0</v>
      </c>
      <c r="H31" s="23">
        <f>'Resid Cust Fcst '!$Q32*'Resid TSM UC Adj'!L31</f>
        <v>0</v>
      </c>
      <c r="I31" s="45">
        <f>IF(SUM(F31:H31)=0,0,SUM(F31:H31)/'Resid Cust Fcst '!Q32)</f>
        <v>0</v>
      </c>
      <c r="J31" s="137">
        <f>'Resid Cust Fcst '!$R32*'Resid TSM UC Adj'!J31</f>
        <v>0</v>
      </c>
      <c r="K31" s="23">
        <f>'Resid Cust Fcst '!$R32*'Resid TSM UC Adj'!K31</f>
        <v>0</v>
      </c>
      <c r="L31" s="23">
        <f>'Resid Cust Fcst '!$R32*'Resid TSM UC Adj'!L31</f>
        <v>0</v>
      </c>
      <c r="M31" s="45">
        <f>IF(SUM(J31:L31)=0,0,SUM(J31:L31)/'Resid Cust Fcst '!R32)</f>
        <v>0</v>
      </c>
      <c r="N31" s="137">
        <f>'Resid Cust Fcst '!$S32*'Resid TSM UC Adj'!N31</f>
        <v>0</v>
      </c>
      <c r="O31" s="23">
        <f>'Resid Cust Fcst '!$S32*'Resid TSM UC Adj'!O31</f>
        <v>0</v>
      </c>
      <c r="P31" s="23">
        <f>'Resid Cust Fcst '!$S32*'Resid TSM UC Adj'!P31</f>
        <v>0</v>
      </c>
      <c r="Q31" s="45">
        <f>IF(SUM(N31:P31)=0,0,SUM(N31:P31)/'Resid Cust Fcst '!S32)</f>
        <v>0</v>
      </c>
      <c r="R31" s="137">
        <f t="shared" si="2"/>
        <v>0</v>
      </c>
      <c r="S31" s="23">
        <f t="shared" si="4"/>
        <v>0</v>
      </c>
      <c r="T31" s="23">
        <f t="shared" si="5"/>
        <v>0</v>
      </c>
      <c r="U31" s="45">
        <f>IF(SUM(R31:T31)=0,0,SUM(R31:T31)/'Resid Cust Fcst '!T32)</f>
        <v>0</v>
      </c>
      <c r="V31" s="137">
        <f>'Resid Cust Fcst '!$U32*'Resid TSM UC Adj'!R31</f>
        <v>0</v>
      </c>
      <c r="W31" s="23">
        <f>'Resid Cust Fcst '!$U32*'Resid TSM UC Adj'!S31</f>
        <v>0</v>
      </c>
      <c r="X31" s="23">
        <f>'Resid Cust Fcst '!$U32*'Resid TSM UC Adj'!T31</f>
        <v>0</v>
      </c>
      <c r="Y31" s="45">
        <f>IF(SUM(V31:X31)=0,0,SUM(V31:X31)/'Resid Cust Fcst '!U32)</f>
        <v>0</v>
      </c>
      <c r="Z31" s="137">
        <f t="shared" si="3"/>
        <v>0</v>
      </c>
      <c r="AA31" s="23">
        <f t="shared" si="6"/>
        <v>0</v>
      </c>
      <c r="AB31" s="23">
        <f t="shared" si="7"/>
        <v>0</v>
      </c>
      <c r="AC31" s="45">
        <f>IF(SUM(Z31:AB31)=0,0,SUM(Z31:AB31)/'Resid Cust Fcst '!V32)</f>
        <v>0</v>
      </c>
    </row>
    <row r="32" spans="1:29">
      <c r="A32" s="153" t="s">
        <v>24</v>
      </c>
      <c r="B32" s="137">
        <f>'Resid Cust Fcst '!$P33*'Resid TSM UC Adj'!J32</f>
        <v>0</v>
      </c>
      <c r="C32" s="23">
        <f>'Resid Cust Fcst '!$P33*'Resid TSM UC Adj'!K32</f>
        <v>0</v>
      </c>
      <c r="D32" s="23">
        <f>'Resid Cust Fcst '!$P33*'Resid TSM UC Adj'!L32</f>
        <v>0</v>
      </c>
      <c r="E32" s="45">
        <f>IF(SUM(B32:D32)=0,0,SUM(B32:D32)/'Resid Cust Fcst '!P33)</f>
        <v>0</v>
      </c>
      <c r="F32" s="137">
        <f>'Resid Cust Fcst '!$Q33*'Resid TSM UC Adj'!J32</f>
        <v>0</v>
      </c>
      <c r="G32" s="23">
        <f>'Resid Cust Fcst '!$Q33*'Resid TSM UC Adj'!K32</f>
        <v>0</v>
      </c>
      <c r="H32" s="23">
        <f>'Resid Cust Fcst '!$Q33*'Resid TSM UC Adj'!L32</f>
        <v>0</v>
      </c>
      <c r="I32" s="45">
        <f>IF(SUM(F32:H32)=0,0,SUM(F32:H32)/'Resid Cust Fcst '!Q33)</f>
        <v>0</v>
      </c>
      <c r="J32" s="137">
        <f>'Resid Cust Fcst '!$R33*'Resid TSM UC Adj'!J32</f>
        <v>0</v>
      </c>
      <c r="K32" s="23">
        <f>'Resid Cust Fcst '!$R33*'Resid TSM UC Adj'!K32</f>
        <v>0</v>
      </c>
      <c r="L32" s="23">
        <f>'Resid Cust Fcst '!$R33*'Resid TSM UC Adj'!L32</f>
        <v>0</v>
      </c>
      <c r="M32" s="45">
        <f>IF(SUM(J32:L32)=0,0,SUM(J32:L32)/'Resid Cust Fcst '!R33)</f>
        <v>0</v>
      </c>
      <c r="N32" s="137">
        <f>'Resid Cust Fcst '!$S33*'Resid TSM UC Adj'!N32</f>
        <v>0</v>
      </c>
      <c r="O32" s="23">
        <f>'Resid Cust Fcst '!$S33*'Resid TSM UC Adj'!O32</f>
        <v>0</v>
      </c>
      <c r="P32" s="23">
        <f>'Resid Cust Fcst '!$S33*'Resid TSM UC Adj'!P32</f>
        <v>0</v>
      </c>
      <c r="Q32" s="45">
        <f>IF(SUM(N32:P32)=0,0,SUM(N32:P32)/'Resid Cust Fcst '!S33)</f>
        <v>0</v>
      </c>
      <c r="R32" s="137">
        <f t="shared" si="2"/>
        <v>0</v>
      </c>
      <c r="S32" s="23">
        <f t="shared" si="4"/>
        <v>0</v>
      </c>
      <c r="T32" s="23">
        <f t="shared" si="5"/>
        <v>0</v>
      </c>
      <c r="U32" s="45">
        <f>IF(SUM(R32:T32)=0,0,SUM(R32:T32)/'Resid Cust Fcst '!T33)</f>
        <v>0</v>
      </c>
      <c r="V32" s="137">
        <f>'Resid Cust Fcst '!$U33*'Resid TSM UC Adj'!R32</f>
        <v>0</v>
      </c>
      <c r="W32" s="23">
        <f>'Resid Cust Fcst '!$U33*'Resid TSM UC Adj'!S32</f>
        <v>0</v>
      </c>
      <c r="X32" s="23">
        <f>'Resid Cust Fcst '!$U33*'Resid TSM UC Adj'!T32</f>
        <v>0</v>
      </c>
      <c r="Y32" s="45">
        <f>IF(SUM(V32:X32)=0,0,SUM(V32:X32)/'Resid Cust Fcst '!U33)</f>
        <v>0</v>
      </c>
      <c r="Z32" s="137">
        <f t="shared" si="3"/>
        <v>0</v>
      </c>
      <c r="AA32" s="23">
        <f t="shared" si="6"/>
        <v>0</v>
      </c>
      <c r="AB32" s="23">
        <f t="shared" si="7"/>
        <v>0</v>
      </c>
      <c r="AC32" s="45">
        <f>IF(SUM(Z32:AB32)=0,0,SUM(Z32:AB32)/'Resid Cust Fcst '!V33)</f>
        <v>0</v>
      </c>
    </row>
    <row r="33" spans="1:29">
      <c r="A33" s="153" t="s">
        <v>25</v>
      </c>
      <c r="B33" s="137">
        <f>'Resid Cust Fcst '!$P34*'Resid TSM UC Adj'!J33</f>
        <v>0</v>
      </c>
      <c r="C33" s="23">
        <f>'Resid Cust Fcst '!$P34*'Resid TSM UC Adj'!K33</f>
        <v>0</v>
      </c>
      <c r="D33" s="23">
        <f>'Resid Cust Fcst '!$P34*'Resid TSM UC Adj'!L33</f>
        <v>0</v>
      </c>
      <c r="E33" s="45">
        <f>IF(SUM(B33:D33)=0,0,SUM(B33:D33)/'Resid Cust Fcst '!P34)</f>
        <v>0</v>
      </c>
      <c r="F33" s="137">
        <f>'Resid Cust Fcst '!$Q34*'Resid TSM UC Adj'!J33</f>
        <v>0</v>
      </c>
      <c r="G33" s="23">
        <f>'Resid Cust Fcst '!$Q34*'Resid TSM UC Adj'!K33</f>
        <v>0</v>
      </c>
      <c r="H33" s="23">
        <f>'Resid Cust Fcst '!$Q34*'Resid TSM UC Adj'!L33</f>
        <v>0</v>
      </c>
      <c r="I33" s="45">
        <f>IF(SUM(F33:H33)=0,0,SUM(F33:H33)/'Resid Cust Fcst '!Q34)</f>
        <v>0</v>
      </c>
      <c r="J33" s="137">
        <f>'Resid Cust Fcst '!$R34*'Resid TSM UC Adj'!J33</f>
        <v>0</v>
      </c>
      <c r="K33" s="23">
        <f>'Resid Cust Fcst '!$R34*'Resid TSM UC Adj'!K33</f>
        <v>0</v>
      </c>
      <c r="L33" s="23">
        <f>'Resid Cust Fcst '!$R34*'Resid TSM UC Adj'!L33</f>
        <v>0</v>
      </c>
      <c r="M33" s="45">
        <f>IF(SUM(J33:L33)=0,0,SUM(J33:L33)/'Resid Cust Fcst '!R34)</f>
        <v>0</v>
      </c>
      <c r="N33" s="137">
        <f>'Resid Cust Fcst '!$S34*'Resid TSM UC Adj'!N33</f>
        <v>0</v>
      </c>
      <c r="O33" s="23">
        <f>'Resid Cust Fcst '!$S34*'Resid TSM UC Adj'!O33</f>
        <v>0</v>
      </c>
      <c r="P33" s="23">
        <f>'Resid Cust Fcst '!$S34*'Resid TSM UC Adj'!P33</f>
        <v>0</v>
      </c>
      <c r="Q33" s="45">
        <f>IF(SUM(N33:P33)=0,0,SUM(N33:P33)/'Resid Cust Fcst '!S34)</f>
        <v>0</v>
      </c>
      <c r="R33" s="137">
        <f t="shared" si="2"/>
        <v>0</v>
      </c>
      <c r="S33" s="23">
        <f t="shared" si="4"/>
        <v>0</v>
      </c>
      <c r="T33" s="23">
        <f t="shared" si="5"/>
        <v>0</v>
      </c>
      <c r="U33" s="45">
        <f>IF(SUM(R33:T33)=0,0,SUM(R33:T33)/'Resid Cust Fcst '!T34)</f>
        <v>0</v>
      </c>
      <c r="V33" s="137">
        <f>'Resid Cust Fcst '!$U34*'Resid TSM UC Adj'!R33</f>
        <v>0</v>
      </c>
      <c r="W33" s="23">
        <f>'Resid Cust Fcst '!$U34*'Resid TSM UC Adj'!S33</f>
        <v>0</v>
      </c>
      <c r="X33" s="23">
        <f>'Resid Cust Fcst '!$U34*'Resid TSM UC Adj'!T33</f>
        <v>0</v>
      </c>
      <c r="Y33" s="45">
        <f>IF(SUM(V33:X33)=0,0,SUM(V33:X33)/'Resid Cust Fcst '!U34)</f>
        <v>0</v>
      </c>
      <c r="Z33" s="137">
        <f t="shared" si="3"/>
        <v>0</v>
      </c>
      <c r="AA33" s="23">
        <f t="shared" si="6"/>
        <v>0</v>
      </c>
      <c r="AB33" s="23">
        <f t="shared" si="7"/>
        <v>0</v>
      </c>
      <c r="AC33" s="45">
        <f>IF(SUM(Z33:AB33)=0,0,SUM(Z33:AB33)/'Resid Cust Fcst '!V34)</f>
        <v>0</v>
      </c>
    </row>
    <row r="34" spans="1:29">
      <c r="A34" s="153" t="s">
        <v>125</v>
      </c>
      <c r="B34" s="137">
        <f>'Resid Cust Fcst '!$P35*'Resid TSM UC Adj'!J34</f>
        <v>0</v>
      </c>
      <c r="C34" s="23">
        <f>'Resid Cust Fcst '!$P35*'Resid TSM UC Adj'!K34</f>
        <v>0</v>
      </c>
      <c r="D34" s="23">
        <f>'Resid Cust Fcst '!$P35*'Resid TSM UC Adj'!L34</f>
        <v>0</v>
      </c>
      <c r="E34" s="45">
        <f>IF(SUM(B34:D34)=0,0,SUM(B34:D34)/'Resid Cust Fcst '!P35)</f>
        <v>0</v>
      </c>
      <c r="F34" s="137">
        <f>'Resid Cust Fcst '!$Q35*'Resid TSM UC Adj'!J34</f>
        <v>0</v>
      </c>
      <c r="G34" s="23">
        <f>'Resid Cust Fcst '!$Q35*'Resid TSM UC Adj'!K34</f>
        <v>0</v>
      </c>
      <c r="H34" s="23">
        <f>'Resid Cust Fcst '!$Q35*'Resid TSM UC Adj'!L34</f>
        <v>0</v>
      </c>
      <c r="I34" s="45">
        <f>IF(SUM(F34:H34)=0,0,SUM(F34:H34)/'Resid Cust Fcst '!Q35)</f>
        <v>0</v>
      </c>
      <c r="J34" s="137">
        <f>'Resid Cust Fcst '!$R35*'Resid TSM UC Adj'!J34</f>
        <v>0</v>
      </c>
      <c r="K34" s="23">
        <f>'Resid Cust Fcst '!$R35*'Resid TSM UC Adj'!K34</f>
        <v>0</v>
      </c>
      <c r="L34" s="23">
        <f>'Resid Cust Fcst '!$R35*'Resid TSM UC Adj'!L34</f>
        <v>0</v>
      </c>
      <c r="M34" s="45">
        <f>IF(SUM(J34:L34)=0,0,SUM(J34:L34)/'Resid Cust Fcst '!R35)</f>
        <v>0</v>
      </c>
      <c r="N34" s="137">
        <f>'Resid Cust Fcst '!$S35*'Resid TSM UC Adj'!N34</f>
        <v>0</v>
      </c>
      <c r="O34" s="23">
        <f>'Resid Cust Fcst '!$S35*'Resid TSM UC Adj'!O34</f>
        <v>0</v>
      </c>
      <c r="P34" s="23">
        <f>'Resid Cust Fcst '!$S35*'Resid TSM UC Adj'!P34</f>
        <v>0</v>
      </c>
      <c r="Q34" s="45">
        <f>IF(SUM(N34:P34)=0,0,SUM(N34:P34)/'Resid Cust Fcst '!S35)</f>
        <v>0</v>
      </c>
      <c r="R34" s="137">
        <f t="shared" si="2"/>
        <v>0</v>
      </c>
      <c r="S34" s="23">
        <f t="shared" si="4"/>
        <v>0</v>
      </c>
      <c r="T34" s="23">
        <f t="shared" si="5"/>
        <v>0</v>
      </c>
      <c r="U34" s="45">
        <f>IF(SUM(R34:T34)=0,0,SUM(R34:T34)/'Resid Cust Fcst '!T35)</f>
        <v>0</v>
      </c>
      <c r="V34" s="137">
        <f>'Resid Cust Fcst '!$U35*'Resid TSM UC Adj'!R34</f>
        <v>0</v>
      </c>
      <c r="W34" s="23">
        <f>'Resid Cust Fcst '!$U35*'Resid TSM UC Adj'!S34</f>
        <v>0</v>
      </c>
      <c r="X34" s="23">
        <f>'Resid Cust Fcst '!$U35*'Resid TSM UC Adj'!T34</f>
        <v>0</v>
      </c>
      <c r="Y34" s="45">
        <f>IF(SUM(V34:X34)=0,0,SUM(V34:X34)/'Resid Cust Fcst '!U35)</f>
        <v>0</v>
      </c>
      <c r="Z34" s="137">
        <f t="shared" si="3"/>
        <v>0</v>
      </c>
      <c r="AA34" s="23">
        <f t="shared" si="6"/>
        <v>0</v>
      </c>
      <c r="AB34" s="23">
        <f t="shared" si="7"/>
        <v>0</v>
      </c>
      <c r="AC34" s="45">
        <f>IF(SUM(Z34:AB34)=0,0,SUM(Z34:AB34)/'Resid Cust Fcst '!V35)</f>
        <v>0</v>
      </c>
    </row>
    <row r="35" spans="1:29">
      <c r="A35" s="153" t="s">
        <v>126</v>
      </c>
      <c r="B35" s="137">
        <f>'Resid Cust Fcst '!$P36*'Resid TSM UC Adj'!J35</f>
        <v>0</v>
      </c>
      <c r="C35" s="23">
        <f>'Resid Cust Fcst '!$P36*'Resid TSM UC Adj'!K35</f>
        <v>0</v>
      </c>
      <c r="D35" s="23">
        <f>'Resid Cust Fcst '!$P36*'Resid TSM UC Adj'!L35</f>
        <v>0</v>
      </c>
      <c r="E35" s="45">
        <f>IF(SUM(B35:D35)=0,0,SUM(B35:D35)/'Resid Cust Fcst '!P36)</f>
        <v>0</v>
      </c>
      <c r="F35" s="137">
        <f>'Resid Cust Fcst '!$Q36*'Resid TSM UC Adj'!J35</f>
        <v>0</v>
      </c>
      <c r="G35" s="23">
        <f>'Resid Cust Fcst '!$Q36*'Resid TSM UC Adj'!K35</f>
        <v>0</v>
      </c>
      <c r="H35" s="23">
        <f>'Resid Cust Fcst '!$Q36*'Resid TSM UC Adj'!L35</f>
        <v>0</v>
      </c>
      <c r="I35" s="45">
        <f>IF(SUM(F35:H35)=0,0,SUM(F35:H35)/'Resid Cust Fcst '!Q36)</f>
        <v>0</v>
      </c>
      <c r="J35" s="137">
        <f>'Resid Cust Fcst '!$R36*'Resid TSM UC Adj'!J35</f>
        <v>0</v>
      </c>
      <c r="K35" s="23">
        <f>'Resid Cust Fcst '!$R36*'Resid TSM UC Adj'!K35</f>
        <v>0</v>
      </c>
      <c r="L35" s="23">
        <f>'Resid Cust Fcst '!$R36*'Resid TSM UC Adj'!L35</f>
        <v>0</v>
      </c>
      <c r="M35" s="45">
        <f>IF(SUM(J35:L35)=0,0,SUM(J35:L35)/'Resid Cust Fcst '!R36)</f>
        <v>0</v>
      </c>
      <c r="N35" s="137">
        <f>'Resid Cust Fcst '!$S36*'Resid TSM UC Adj'!N35</f>
        <v>0</v>
      </c>
      <c r="O35" s="23">
        <f>'Resid Cust Fcst '!$S36*'Resid TSM UC Adj'!O35</f>
        <v>0</v>
      </c>
      <c r="P35" s="23">
        <f>'Resid Cust Fcst '!$S36*'Resid TSM UC Adj'!P35</f>
        <v>0</v>
      </c>
      <c r="Q35" s="45">
        <f>IF(SUM(N35:P35)=0,0,SUM(N35:P35)/'Resid Cust Fcst '!S36)</f>
        <v>0</v>
      </c>
      <c r="R35" s="137">
        <f t="shared" si="2"/>
        <v>0</v>
      </c>
      <c r="S35" s="23">
        <f t="shared" si="4"/>
        <v>0</v>
      </c>
      <c r="T35" s="23">
        <f t="shared" si="5"/>
        <v>0</v>
      </c>
      <c r="U35" s="45">
        <f>IF(SUM(R35:T35)=0,0,SUM(R35:T35)/'Resid Cust Fcst '!T36)</f>
        <v>0</v>
      </c>
      <c r="V35" s="137">
        <f>'Resid Cust Fcst '!$U36*'Resid TSM UC Adj'!R35</f>
        <v>0</v>
      </c>
      <c r="W35" s="23">
        <f>'Resid Cust Fcst '!$U36*'Resid TSM UC Adj'!S35</f>
        <v>0</v>
      </c>
      <c r="X35" s="23">
        <f>'Resid Cust Fcst '!$U36*'Resid TSM UC Adj'!T35</f>
        <v>0</v>
      </c>
      <c r="Y35" s="45">
        <f>IF(SUM(V35:X35)=0,0,SUM(V35:X35)/'Resid Cust Fcst '!U36)</f>
        <v>0</v>
      </c>
      <c r="Z35" s="137">
        <f t="shared" si="3"/>
        <v>0</v>
      </c>
      <c r="AA35" s="23">
        <f t="shared" si="6"/>
        <v>0</v>
      </c>
      <c r="AB35" s="23">
        <f t="shared" si="7"/>
        <v>0</v>
      </c>
      <c r="AC35" s="45">
        <f>IF(SUM(Z35:AB35)=0,0,SUM(Z35:AB35)/'Resid Cust Fcst '!V36)</f>
        <v>0</v>
      </c>
    </row>
    <row r="36" spans="1:29">
      <c r="A36" s="153" t="s">
        <v>26</v>
      </c>
      <c r="B36" s="137">
        <f>'Resid Cust Fcst '!$P37*'Resid TSM UC Adj'!J36</f>
        <v>0</v>
      </c>
      <c r="C36" s="23">
        <f>'Resid Cust Fcst '!$P37*'Resid TSM UC Adj'!K36</f>
        <v>0</v>
      </c>
      <c r="D36" s="23">
        <f>'Resid Cust Fcst '!$P37*'Resid TSM UC Adj'!L36</f>
        <v>0</v>
      </c>
      <c r="E36" s="45">
        <f>IF(SUM(B36:D36)=0,0,SUM(B36:D36)/'Resid Cust Fcst '!P37)</f>
        <v>0</v>
      </c>
      <c r="F36" s="137">
        <f>'Resid Cust Fcst '!$Q37*'Resid TSM UC Adj'!J36</f>
        <v>0</v>
      </c>
      <c r="G36" s="23">
        <f>'Resid Cust Fcst '!$Q37*'Resid TSM UC Adj'!K36</f>
        <v>0</v>
      </c>
      <c r="H36" s="23">
        <f>'Resid Cust Fcst '!$Q37*'Resid TSM UC Adj'!L36</f>
        <v>0</v>
      </c>
      <c r="I36" s="45">
        <f>IF(SUM(F36:H36)=0,0,SUM(F36:H36)/'Resid Cust Fcst '!Q37)</f>
        <v>0</v>
      </c>
      <c r="J36" s="137">
        <f>'Resid Cust Fcst '!$R37*'Resid TSM UC Adj'!J36</f>
        <v>0</v>
      </c>
      <c r="K36" s="23">
        <f>'Resid Cust Fcst '!$R37*'Resid TSM UC Adj'!K36</f>
        <v>0</v>
      </c>
      <c r="L36" s="23">
        <f>'Resid Cust Fcst '!$R37*'Resid TSM UC Adj'!L36</f>
        <v>0</v>
      </c>
      <c r="M36" s="45">
        <f>IF(SUM(J36:L36)=0,0,SUM(J36:L36)/'Resid Cust Fcst '!R37)</f>
        <v>0</v>
      </c>
      <c r="N36" s="137">
        <f>'Resid Cust Fcst '!$S37*'Resid TSM UC Adj'!N36</f>
        <v>0</v>
      </c>
      <c r="O36" s="23">
        <f>'Resid Cust Fcst '!$S37*'Resid TSM UC Adj'!O36</f>
        <v>0</v>
      </c>
      <c r="P36" s="23">
        <f>'Resid Cust Fcst '!$S37*'Resid TSM UC Adj'!P36</f>
        <v>0</v>
      </c>
      <c r="Q36" s="45">
        <f>IF(SUM(N36:P36)=0,0,SUM(N36:P36)/'Resid Cust Fcst '!S37)</f>
        <v>0</v>
      </c>
      <c r="R36" s="137">
        <f t="shared" si="2"/>
        <v>0</v>
      </c>
      <c r="S36" s="23">
        <f t="shared" si="4"/>
        <v>0</v>
      </c>
      <c r="T36" s="23">
        <f t="shared" si="5"/>
        <v>0</v>
      </c>
      <c r="U36" s="45">
        <f>IF(SUM(R36:T36)=0,0,SUM(R36:T36)/'Resid Cust Fcst '!T37)</f>
        <v>0</v>
      </c>
      <c r="V36" s="137">
        <f>'Resid Cust Fcst '!$U37*'Resid TSM UC Adj'!R36</f>
        <v>0</v>
      </c>
      <c r="W36" s="23">
        <f>'Resid Cust Fcst '!$U37*'Resid TSM UC Adj'!S36</f>
        <v>0</v>
      </c>
      <c r="X36" s="23">
        <f>'Resid Cust Fcst '!$U37*'Resid TSM UC Adj'!T36</f>
        <v>0</v>
      </c>
      <c r="Y36" s="45">
        <f>IF(SUM(V36:X36)=0,0,SUM(V36:X36)/'Resid Cust Fcst '!U37)</f>
        <v>0</v>
      </c>
      <c r="Z36" s="137">
        <f t="shared" si="3"/>
        <v>0</v>
      </c>
      <c r="AA36" s="23">
        <f t="shared" si="6"/>
        <v>0</v>
      </c>
      <c r="AB36" s="23">
        <f t="shared" si="7"/>
        <v>0</v>
      </c>
      <c r="AC36" s="45">
        <f>IF(SUM(Z36:AB36)=0,0,SUM(Z36:AB36)/'Resid Cust Fcst '!V37)</f>
        <v>0</v>
      </c>
    </row>
    <row r="37" spans="1:29">
      <c r="A37" s="153" t="s">
        <v>27</v>
      </c>
      <c r="B37" s="137">
        <f>'Resid Cust Fcst '!$P38*'Resid TSM UC Adj'!J37</f>
        <v>0</v>
      </c>
      <c r="C37" s="23">
        <f>'Resid Cust Fcst '!$P38*'Resid TSM UC Adj'!K37</f>
        <v>0</v>
      </c>
      <c r="D37" s="23">
        <f>'Resid Cust Fcst '!$P38*'Resid TSM UC Adj'!L37</f>
        <v>0</v>
      </c>
      <c r="E37" s="45">
        <f>IF(SUM(B37:D37)=0,0,SUM(B37:D37)/'Resid Cust Fcst '!P38)</f>
        <v>0</v>
      </c>
      <c r="F37" s="137">
        <f>'Resid Cust Fcst '!$Q38*'Resid TSM UC Adj'!J37</f>
        <v>0</v>
      </c>
      <c r="G37" s="23">
        <f>'Resid Cust Fcst '!$Q38*'Resid TSM UC Adj'!K37</f>
        <v>0</v>
      </c>
      <c r="H37" s="23">
        <f>'Resid Cust Fcst '!$Q38*'Resid TSM UC Adj'!L37</f>
        <v>0</v>
      </c>
      <c r="I37" s="45">
        <f>IF(SUM(F37:H37)=0,0,SUM(F37:H37)/'Resid Cust Fcst '!Q38)</f>
        <v>0</v>
      </c>
      <c r="J37" s="137">
        <f>'Resid Cust Fcst '!$R38*'Resid TSM UC Adj'!J37</f>
        <v>0</v>
      </c>
      <c r="K37" s="23">
        <f>'Resid Cust Fcst '!$R38*'Resid TSM UC Adj'!K37</f>
        <v>0</v>
      </c>
      <c r="L37" s="23">
        <f>'Resid Cust Fcst '!$R38*'Resid TSM UC Adj'!L37</f>
        <v>0</v>
      </c>
      <c r="M37" s="45">
        <f>IF(SUM(J37:L37)=0,0,SUM(J37:L37)/'Resid Cust Fcst '!R38)</f>
        <v>0</v>
      </c>
      <c r="N37" s="137">
        <f>'Resid Cust Fcst '!$S38*'Resid TSM UC Adj'!N37</f>
        <v>0</v>
      </c>
      <c r="O37" s="23">
        <f>'Resid Cust Fcst '!$S38*'Resid TSM UC Adj'!O37</f>
        <v>0</v>
      </c>
      <c r="P37" s="23">
        <f>'Resid Cust Fcst '!$S38*'Resid TSM UC Adj'!P37</f>
        <v>0</v>
      </c>
      <c r="Q37" s="45">
        <f>IF(SUM(N37:P37)=0,0,SUM(N37:P37)/'Resid Cust Fcst '!S38)</f>
        <v>0</v>
      </c>
      <c r="R37" s="137">
        <f t="shared" si="2"/>
        <v>0</v>
      </c>
      <c r="S37" s="23">
        <f t="shared" si="4"/>
        <v>0</v>
      </c>
      <c r="T37" s="23">
        <f t="shared" si="5"/>
        <v>0</v>
      </c>
      <c r="U37" s="45">
        <f>IF(SUM(R37:T37)=0,0,SUM(R37:T37)/'Resid Cust Fcst '!T38)</f>
        <v>0</v>
      </c>
      <c r="V37" s="137">
        <f>'Resid Cust Fcst '!$U38*'Resid TSM UC Adj'!R37</f>
        <v>0</v>
      </c>
      <c r="W37" s="23">
        <f>'Resid Cust Fcst '!$U38*'Resid TSM UC Adj'!S37</f>
        <v>0</v>
      </c>
      <c r="X37" s="23">
        <f>'Resid Cust Fcst '!$U38*'Resid TSM UC Adj'!T37</f>
        <v>0</v>
      </c>
      <c r="Y37" s="45">
        <f>IF(SUM(V37:X37)=0,0,SUM(V37:X37)/'Resid Cust Fcst '!U38)</f>
        <v>0</v>
      </c>
      <c r="Z37" s="137">
        <f t="shared" si="3"/>
        <v>0</v>
      </c>
      <c r="AA37" s="23">
        <f t="shared" si="6"/>
        <v>0</v>
      </c>
      <c r="AB37" s="23">
        <f t="shared" si="7"/>
        <v>0</v>
      </c>
      <c r="AC37" s="45">
        <f>IF(SUM(Z37:AB37)=0,0,SUM(Z37:AB37)/'Resid Cust Fcst '!V38)</f>
        <v>0</v>
      </c>
    </row>
    <row r="38" spans="1:29" ht="13.5" thickBot="1">
      <c r="A38" s="156"/>
      <c r="B38" s="137"/>
      <c r="C38" s="23"/>
      <c r="D38" s="23"/>
      <c r="E38" s="45"/>
      <c r="F38" s="137"/>
      <c r="G38" s="23"/>
      <c r="H38" s="23"/>
      <c r="I38" s="45"/>
      <c r="J38" s="137"/>
      <c r="K38" s="23"/>
      <c r="L38" s="23"/>
      <c r="M38" s="45"/>
      <c r="N38" s="137"/>
      <c r="O38" s="23"/>
      <c r="P38" s="23"/>
      <c r="Q38" s="45"/>
      <c r="R38" s="244"/>
      <c r="S38" s="240"/>
      <c r="T38" s="240"/>
      <c r="U38" s="249"/>
      <c r="V38" s="137"/>
      <c r="W38" s="23"/>
      <c r="X38" s="23"/>
      <c r="Y38" s="45"/>
      <c r="Z38" s="137"/>
      <c r="AA38" s="23"/>
      <c r="AB38" s="23"/>
      <c r="AC38" s="45"/>
    </row>
    <row r="39" spans="1:29" ht="13.5" thickBot="1">
      <c r="A39" s="280" t="s">
        <v>2</v>
      </c>
      <c r="B39" s="317">
        <f>IF(SUM(B7:B37)=0,0,SUM(B7:B37)/'Resid Cust Fcst '!$P$40)</f>
        <v>880.25348198902361</v>
      </c>
      <c r="C39" s="318">
        <f>IF(SUM(C7:C37)=0,0,SUM(C7:C37)/'Resid Cust Fcst '!$P$40)</f>
        <v>210.38233549018625</v>
      </c>
      <c r="D39" s="318">
        <f>IF(SUM(D7:D37)=0,0,SUM(D7:D37)/'Resid Cust Fcst '!$P$40)</f>
        <v>246.24333484162895</v>
      </c>
      <c r="E39" s="319">
        <f>SUM(B39:D39)</f>
        <v>1336.8791523208388</v>
      </c>
      <c r="F39" s="317">
        <f>IF(SUM(F7:F37)=0,0,SUM(F7:F37)/'Resid Cust Fcst '!$Q$40)</f>
        <v>1711.248584020168</v>
      </c>
      <c r="G39" s="318">
        <f>IF(SUM(G7:G37)=0,0,SUM(G7:G37)/'Resid Cust Fcst '!$Q$40)</f>
        <v>1156.5714159798322</v>
      </c>
      <c r="H39" s="318">
        <f>IF(SUM(H7:H37)=0,0,SUM(H7:H37)/'Resid Cust Fcst '!$Q$40)</f>
        <v>373.18</v>
      </c>
      <c r="I39" s="319">
        <f>SUM(F39:H39)</f>
        <v>3241</v>
      </c>
      <c r="J39" s="317">
        <f>IF(SUM(J7:J37)=0,0,SUM(J7:J37)/'Resid Cust Fcst '!$R$40)</f>
        <v>1451.1884400244371</v>
      </c>
      <c r="K39" s="318">
        <f>IF(SUM(K7:K37)=0,0,SUM(K7:K37)/'Resid Cust Fcst '!$R$40)</f>
        <v>1416.6315599755626</v>
      </c>
      <c r="L39" s="318">
        <f>IF(SUM(L7:L37)=0,0,SUM(L7:L37)/'Resid Cust Fcst '!$R$40)</f>
        <v>373.18000000000006</v>
      </c>
      <c r="M39" s="319">
        <f>SUM(J39:L39)</f>
        <v>3241</v>
      </c>
      <c r="N39" s="317">
        <f>IF(SUM(N7:N37)=0,0,SUM(N7:N37)/'Resid Cust Fcst '!$S$40)</f>
        <v>233.91925953438749</v>
      </c>
      <c r="O39" s="318">
        <f>IF(SUM(O7:O37)=0,0,SUM(O7:O37)/'Resid Cust Fcst '!$S$40)</f>
        <v>2633.9007404656131</v>
      </c>
      <c r="P39" s="318">
        <f>IF(SUM(P7:P37)=0,0,SUM(P7:P37)/'Resid Cust Fcst '!$S$40)</f>
        <v>373.18</v>
      </c>
      <c r="Q39" s="319">
        <f>SUM(N39:P39)</f>
        <v>3241.0000000000005</v>
      </c>
      <c r="R39" s="317">
        <f>IF(SUM(R7:R37)=0,0,SUM(R7:R37)/'Resid Cust Fcst '!$T$40)</f>
        <v>949.03741549393339</v>
      </c>
      <c r="S39" s="318">
        <f>IF(SUM(S7:S37)=0,0,SUM(S7:S37)/'Resid Cust Fcst '!$T$40)</f>
        <v>384.63213634709399</v>
      </c>
      <c r="T39" s="318">
        <f>IF(SUM(T7:T37)=0,0,SUM(T7:T37)/'Resid Cust Fcst '!$T$40)</f>
        <v>263.60219503422672</v>
      </c>
      <c r="U39" s="319">
        <f>SUM(R39:T39)</f>
        <v>1597.2717468752542</v>
      </c>
      <c r="V39" s="317">
        <f>IF(SUM(V7:V37)=0,0,SUM(V7:V37)/'Resid Cust Fcst '!$U$40)</f>
        <v>0</v>
      </c>
      <c r="W39" s="318">
        <f>IF(SUM(W7:W37)=0,0,SUM(W7:W37)/'Resid Cust Fcst '!$U$40)</f>
        <v>2227.96</v>
      </c>
      <c r="X39" s="318">
        <f>IF(SUM(X7:X37)=0,0,SUM(X7:X37)/'Resid Cust Fcst '!$U$40)</f>
        <v>1013.04</v>
      </c>
      <c r="Y39" s="319">
        <f>SUM(V39:X39)</f>
        <v>3241</v>
      </c>
      <c r="Z39" s="317">
        <f>IF(SUM(Z7:Z37)=0,0,SUM(Z7:Z37)/'Resid Cust Fcst '!$V$40)</f>
        <v>944.99895840672514</v>
      </c>
      <c r="AA39" s="318">
        <f>IF(SUM(AA7:AA37)=0,0,SUM(AA7:AA37)/'Resid Cust Fcst '!$V$40)</f>
        <v>392.47608470306386</v>
      </c>
      <c r="AB39" s="318">
        <f>IF(SUM(AB7:AB37)=0,0,SUM(AB7:AB37)/'Resid Cust Fcst '!$V$40)</f>
        <v>266.79129207663425</v>
      </c>
      <c r="AC39" s="319">
        <f>SUM(Z39:AB39)</f>
        <v>1604.2663351864235</v>
      </c>
    </row>
    <row r="40" spans="1:29">
      <c r="A40" s="55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</row>
    <row r="41" spans="1:29">
      <c r="A41" s="340" t="s">
        <v>102</v>
      </c>
      <c r="B41" s="18"/>
      <c r="C41" s="18"/>
      <c r="D41" s="18"/>
      <c r="E41" s="23">
        <f>IF(SUM(B7:D37)=0,0,SUM(B7:D37)/'Resid Cust Fcst '!P40)-E39</f>
        <v>0</v>
      </c>
      <c r="F41" s="18"/>
      <c r="G41" s="18"/>
      <c r="H41" s="18"/>
      <c r="I41" s="23">
        <f>IF(SUM(F7:H37)=0,0,SUM(F7:H37)/'Resid Cust Fcst '!Q40)-I39</f>
        <v>0</v>
      </c>
      <c r="J41" s="18"/>
      <c r="K41" s="18"/>
      <c r="L41" s="18"/>
      <c r="M41" s="23">
        <f>IF(SUM(J7:L37)=0,0,SUM(J7:L37)/'Resid Cust Fcst '!R40)-M39</f>
        <v>0</v>
      </c>
      <c r="N41" s="18"/>
      <c r="O41" s="18"/>
      <c r="P41" s="18"/>
      <c r="Q41" s="23">
        <f>IF(SUM(N7:P37)=0,0,SUM(N7:P37)/'Resid Cust Fcst '!S40)-Q39</f>
        <v>0</v>
      </c>
      <c r="R41" s="18"/>
      <c r="S41" s="18"/>
      <c r="T41" s="18"/>
      <c r="U41" s="23">
        <f>IF(SUM(R7:T37)=0,0,SUM(R7:T37)/'Resid Cust Fcst '!T40)-U39</f>
        <v>0</v>
      </c>
      <c r="V41" s="18"/>
      <c r="W41" s="18"/>
      <c r="X41" s="18"/>
      <c r="Y41" s="23">
        <f>IF(SUM(V7:X37)=0,0,SUM(V7:X37)/'Resid Cust Fcst '!U40)-Y39</f>
        <v>0</v>
      </c>
      <c r="Z41" s="18"/>
      <c r="AA41" s="18"/>
      <c r="AB41" s="18"/>
      <c r="AC41" s="23">
        <f>IF(SUM(Z7:AB37)=0,0,SUM(Z7:AB37)/'Resid Cust Fcst '!V40)-AC39</f>
        <v>0</v>
      </c>
    </row>
    <row r="42" spans="1:29">
      <c r="N42" s="56"/>
      <c r="O42" s="56"/>
      <c r="P42" s="56"/>
    </row>
    <row r="43" spans="1:29">
      <c r="N43" s="56"/>
      <c r="O43" s="56"/>
      <c r="P43" s="56"/>
    </row>
    <row r="44" spans="1:29">
      <c r="A44" s="19"/>
      <c r="N44" s="18"/>
      <c r="O44" s="18"/>
      <c r="P44" s="18"/>
    </row>
    <row r="56" spans="1:1">
      <c r="A56" s="19"/>
    </row>
  </sheetData>
  <mergeCells count="9">
    <mergeCell ref="A1:Y1"/>
    <mergeCell ref="B2:U2"/>
    <mergeCell ref="V2:Y2"/>
    <mergeCell ref="Z2:AC2"/>
    <mergeCell ref="B3:E3"/>
    <mergeCell ref="F3:I3"/>
    <mergeCell ref="J3:M3"/>
    <mergeCell ref="N3:Q3"/>
    <mergeCell ref="R3:U3"/>
  </mergeCells>
  <printOptions horizontalCentered="1"/>
  <pageMargins left="0.75" right="0.75" top="1" bottom="1" header="0.5" footer="0.5"/>
  <pageSetup scale="39" orientation="portrait" r:id="rId1"/>
  <headerFooter alignWithMargins="0">
    <oddFooter>&amp;L&amp;F
&amp;A&amp;R&amp;P of &amp;N</oddFooter>
  </headerFooter>
  <colBreaks count="1" manualBreakCount="1">
    <brk id="13" max="38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1">
    <tabColor rgb="FFC00000"/>
  </sheetPr>
  <dimension ref="A1:AC56"/>
  <sheetViews>
    <sheetView zoomScaleNormal="100" workbookViewId="0">
      <selection activeCell="B12" sqref="B12"/>
    </sheetView>
  </sheetViews>
  <sheetFormatPr defaultRowHeight="12.75"/>
  <cols>
    <col min="1" max="1" width="39" customWidth="1"/>
    <col min="2" max="2" width="12.85546875" bestFit="1" customWidth="1"/>
    <col min="3" max="3" width="11.28515625" bestFit="1" customWidth="1"/>
    <col min="4" max="4" width="12.28515625" bestFit="1" customWidth="1"/>
    <col min="5" max="5" width="9.28515625" bestFit="1" customWidth="1"/>
    <col min="6" max="6" width="12.85546875" bestFit="1" customWidth="1"/>
    <col min="7" max="7" width="11.28515625" bestFit="1" customWidth="1"/>
    <col min="8" max="8" width="10.28515625" bestFit="1" customWidth="1"/>
    <col min="9" max="9" width="11.28515625" bestFit="1" customWidth="1"/>
    <col min="10" max="10" width="12.85546875" customWidth="1"/>
    <col min="11" max="11" width="12.28515625" customWidth="1"/>
    <col min="12" max="12" width="12.28515625" bestFit="1" customWidth="1"/>
    <col min="13" max="13" width="10.28515625" bestFit="1" customWidth="1"/>
    <col min="14" max="14" width="12.85546875" customWidth="1"/>
    <col min="15" max="15" width="10" customWidth="1"/>
    <col min="16" max="17" width="10.28515625" bestFit="1" customWidth="1"/>
    <col min="18" max="18" width="12.85546875" bestFit="1" customWidth="1"/>
    <col min="19" max="20" width="12.28515625" bestFit="1" customWidth="1"/>
    <col min="21" max="21" width="11.28515625" bestFit="1" customWidth="1"/>
    <col min="22" max="22" width="12.85546875" bestFit="1" customWidth="1"/>
    <col min="23" max="25" width="10.28515625" customWidth="1"/>
    <col min="26" max="29" width="13.85546875" customWidth="1"/>
  </cols>
  <sheetData>
    <row r="1" spans="1:29" ht="18.75" thickBot="1">
      <c r="A1" s="841" t="s">
        <v>95</v>
      </c>
      <c r="B1" s="841"/>
      <c r="C1" s="841"/>
      <c r="D1" s="841"/>
      <c r="E1" s="841"/>
      <c r="F1" s="841"/>
      <c r="G1" s="841"/>
      <c r="H1" s="841"/>
      <c r="I1" s="841"/>
      <c r="J1" s="841"/>
      <c r="K1" s="841"/>
      <c r="L1" s="841"/>
      <c r="M1" s="841"/>
      <c r="N1" s="841"/>
      <c r="O1" s="841"/>
      <c r="P1" s="841"/>
      <c r="Q1" s="841"/>
      <c r="R1" s="841"/>
      <c r="S1" s="841"/>
      <c r="T1" s="841"/>
      <c r="U1" s="841"/>
      <c r="V1" s="841"/>
      <c r="W1" s="841"/>
      <c r="X1" s="841"/>
      <c r="Y1" s="841"/>
    </row>
    <row r="2" spans="1:29" ht="13.5" thickBot="1">
      <c r="A2" s="131"/>
      <c r="B2" s="834" t="s">
        <v>132</v>
      </c>
      <c r="C2" s="835"/>
      <c r="D2" s="835"/>
      <c r="E2" s="835"/>
      <c r="F2" s="835"/>
      <c r="G2" s="835"/>
      <c r="H2" s="835"/>
      <c r="I2" s="835"/>
      <c r="J2" s="835"/>
      <c r="K2" s="835"/>
      <c r="L2" s="835"/>
      <c r="M2" s="835"/>
      <c r="N2" s="835"/>
      <c r="O2" s="835"/>
      <c r="P2" s="835"/>
      <c r="Q2" s="835"/>
      <c r="R2" s="835"/>
      <c r="S2" s="835"/>
      <c r="T2" s="835"/>
      <c r="U2" s="837"/>
      <c r="V2" s="834" t="s">
        <v>133</v>
      </c>
      <c r="W2" s="835"/>
      <c r="X2" s="835"/>
      <c r="Y2" s="837"/>
      <c r="Z2" s="834" t="s">
        <v>149</v>
      </c>
      <c r="AA2" s="835"/>
      <c r="AB2" s="835"/>
      <c r="AC2" s="837"/>
    </row>
    <row r="3" spans="1:29">
      <c r="A3" s="196"/>
      <c r="B3" s="842" t="s">
        <v>127</v>
      </c>
      <c r="C3" s="843"/>
      <c r="D3" s="843"/>
      <c r="E3" s="844"/>
      <c r="F3" s="842" t="s">
        <v>114</v>
      </c>
      <c r="G3" s="843"/>
      <c r="H3" s="843"/>
      <c r="I3" s="844"/>
      <c r="J3" s="842" t="s">
        <v>115</v>
      </c>
      <c r="K3" s="843"/>
      <c r="L3" s="843"/>
      <c r="M3" s="844"/>
      <c r="N3" s="842" t="s">
        <v>113</v>
      </c>
      <c r="O3" s="843"/>
      <c r="P3" s="843"/>
      <c r="Q3" s="844"/>
      <c r="R3" s="836" t="s">
        <v>138</v>
      </c>
      <c r="S3" s="843"/>
      <c r="T3" s="843"/>
      <c r="U3" s="844"/>
      <c r="V3" s="345"/>
      <c r="W3" s="346"/>
      <c r="X3" s="346"/>
      <c r="Y3" s="347"/>
      <c r="Z3" s="345"/>
      <c r="AA3" s="346"/>
      <c r="AB3" s="346"/>
      <c r="AC3" s="347"/>
    </row>
    <row r="4" spans="1:29" ht="13.5" thickBot="1">
      <c r="A4" s="102" t="s">
        <v>4</v>
      </c>
      <c r="B4" s="348" t="s">
        <v>36</v>
      </c>
      <c r="C4" s="349" t="s">
        <v>37</v>
      </c>
      <c r="D4" s="349" t="s">
        <v>38</v>
      </c>
      <c r="E4" s="350" t="s">
        <v>41</v>
      </c>
      <c r="F4" s="348" t="s">
        <v>36</v>
      </c>
      <c r="G4" s="349" t="s">
        <v>37</v>
      </c>
      <c r="H4" s="349" t="s">
        <v>38</v>
      </c>
      <c r="I4" s="350" t="s">
        <v>41</v>
      </c>
      <c r="J4" s="348" t="s">
        <v>36</v>
      </c>
      <c r="K4" s="349" t="s">
        <v>37</v>
      </c>
      <c r="L4" s="349" t="s">
        <v>40</v>
      </c>
      <c r="M4" s="350" t="s">
        <v>41</v>
      </c>
      <c r="N4" s="348" t="s">
        <v>36</v>
      </c>
      <c r="O4" s="349" t="s">
        <v>37</v>
      </c>
      <c r="P4" s="349" t="s">
        <v>40</v>
      </c>
      <c r="Q4" s="350" t="s">
        <v>41</v>
      </c>
      <c r="R4" s="348" t="s">
        <v>36</v>
      </c>
      <c r="S4" s="349" t="s">
        <v>37</v>
      </c>
      <c r="T4" s="349" t="s">
        <v>38</v>
      </c>
      <c r="U4" s="350" t="s">
        <v>41</v>
      </c>
      <c r="V4" s="348" t="s">
        <v>36</v>
      </c>
      <c r="W4" s="349" t="s">
        <v>37</v>
      </c>
      <c r="X4" s="349" t="s">
        <v>40</v>
      </c>
      <c r="Y4" s="350" t="s">
        <v>41</v>
      </c>
      <c r="Z4" s="348" t="s">
        <v>36</v>
      </c>
      <c r="AA4" s="349" t="s">
        <v>37</v>
      </c>
      <c r="AB4" s="349" t="s">
        <v>40</v>
      </c>
      <c r="AC4" s="350" t="s">
        <v>41</v>
      </c>
    </row>
    <row r="5" spans="1:29">
      <c r="A5" s="133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5" t="s">
        <v>42</v>
      </c>
      <c r="K5" s="6" t="s">
        <v>42</v>
      </c>
      <c r="L5" s="6" t="s">
        <v>42</v>
      </c>
      <c r="M5" s="7" t="s">
        <v>43</v>
      </c>
      <c r="N5" s="5" t="s">
        <v>42</v>
      </c>
      <c r="O5" s="6" t="s">
        <v>42</v>
      </c>
      <c r="P5" s="6" t="s">
        <v>42</v>
      </c>
      <c r="Q5" s="7" t="s">
        <v>43</v>
      </c>
      <c r="R5" s="5" t="s">
        <v>42</v>
      </c>
      <c r="S5" s="6" t="s">
        <v>42</v>
      </c>
      <c r="T5" s="6" t="s">
        <v>42</v>
      </c>
      <c r="U5" s="7" t="s">
        <v>43</v>
      </c>
      <c r="V5" s="132" t="s">
        <v>42</v>
      </c>
      <c r="W5" s="8" t="s">
        <v>42</v>
      </c>
      <c r="X5" s="8" t="s">
        <v>42</v>
      </c>
      <c r="Y5" s="9" t="s">
        <v>43</v>
      </c>
      <c r="Z5" s="132" t="s">
        <v>42</v>
      </c>
      <c r="AA5" s="8" t="s">
        <v>42</v>
      </c>
      <c r="AB5" s="8" t="s">
        <v>42</v>
      </c>
      <c r="AC5" s="9" t="s">
        <v>43</v>
      </c>
    </row>
    <row r="6" spans="1:29">
      <c r="A6" s="112"/>
      <c r="B6" s="132"/>
      <c r="C6" s="8"/>
      <c r="D6" s="8"/>
      <c r="E6" s="9"/>
      <c r="F6" s="132"/>
      <c r="G6" s="8"/>
      <c r="H6" s="8"/>
      <c r="I6" s="9"/>
      <c r="J6" s="132"/>
      <c r="K6" s="8"/>
      <c r="L6" s="8"/>
      <c r="M6" s="9"/>
      <c r="N6" s="132"/>
      <c r="O6" s="8"/>
      <c r="P6" s="8"/>
      <c r="Q6" s="9"/>
      <c r="R6" s="132"/>
      <c r="S6" s="8"/>
      <c r="T6" s="8"/>
      <c r="U6" s="9"/>
      <c r="V6" s="132"/>
      <c r="W6" s="8"/>
      <c r="X6" s="8"/>
      <c r="Y6" s="9"/>
      <c r="Z6" s="132"/>
      <c r="AA6" s="8"/>
      <c r="AB6" s="8"/>
      <c r="AC6" s="9"/>
    </row>
    <row r="7" spans="1:29">
      <c r="A7" s="153" t="s">
        <v>5</v>
      </c>
      <c r="B7" s="137">
        <f>'Resid Cust Fcst '!$W8*'Resid TSM UC Adj'!B7</f>
        <v>245.39104820707465</v>
      </c>
      <c r="C7" s="23">
        <f>'Resid Cust Fcst '!$W8*'Resid TSM UC Adj'!C7</f>
        <v>138.7130210066349</v>
      </c>
      <c r="D7" s="23">
        <f>'Resid Cust Fcst '!$W8*'Resid TSM UC Adj'!D7</f>
        <v>246.24333484162895</v>
      </c>
      <c r="E7" s="45">
        <f>IF(SUM(B7:D7)=0,0,SUM(B7:D7)/'Resid Cust Fcst '!W8)</f>
        <v>630.34740405533853</v>
      </c>
      <c r="F7" s="137">
        <f>'Resid Cust Fcst '!$X8*'Resid TSM UC Adj'!F7</f>
        <v>0</v>
      </c>
      <c r="G7" s="23">
        <f>'Resid Cust Fcst '!$X8*'Resid TSM UC Adj'!G7</f>
        <v>0</v>
      </c>
      <c r="H7" s="23">
        <f>'Resid Cust Fcst '!$X8*'Resid TSM UC Adj'!H7</f>
        <v>0</v>
      </c>
      <c r="I7" s="45">
        <f>IF(SUM(F7:H7)=0,0,SUM(F7:H7)/'Resid Cust Fcst '!X8)</f>
        <v>0</v>
      </c>
      <c r="J7" s="137">
        <f>'Resid Cust Fcst '!$Y8*'Resid TSM UC Adj'!J7</f>
        <v>0</v>
      </c>
      <c r="K7" s="23">
        <f>'Resid Cust Fcst '!$Y8*'Resid TSM UC Adj'!K7</f>
        <v>0</v>
      </c>
      <c r="L7" s="23">
        <f>'Resid Cust Fcst '!$Y8*'Resid TSM UC Adj'!L7</f>
        <v>0</v>
      </c>
      <c r="M7" s="45">
        <f>IF(SUM(J7:L7)=0,0,SUM(J7:L7)/'Resid Cust Fcst '!Y8)</f>
        <v>0</v>
      </c>
      <c r="N7" s="137">
        <f>'Resid Cust Fcst '!$Z8*'Resid TSM UC Adj'!N7</f>
        <v>0</v>
      </c>
      <c r="O7" s="23">
        <f>'Resid Cust Fcst '!$Z8*'Resid TSM UC Adj'!O7</f>
        <v>0</v>
      </c>
      <c r="P7" s="23">
        <f>'Resid Cust Fcst '!$Z8*'Resid TSM UC Adj'!P7</f>
        <v>0</v>
      </c>
      <c r="Q7" s="45">
        <f>IF(SUM(N7:P7)=0,0,SUM(N7:P7)/'Resid Cust Fcst '!Z8)</f>
        <v>0</v>
      </c>
      <c r="R7" s="137">
        <f>B7+F7+J7+N7</f>
        <v>245.39104820707465</v>
      </c>
      <c r="S7" s="23">
        <f t="shared" ref="S7:T22" si="0">C7+G7+K7+O7</f>
        <v>138.7130210066349</v>
      </c>
      <c r="T7" s="23">
        <f t="shared" si="0"/>
        <v>246.24333484162895</v>
      </c>
      <c r="U7" s="45">
        <f>IF(SUM(R7:T7)=0,0,SUM(R7:T7)/'Resid Cust Fcst '!AA8)</f>
        <v>630.34740405533853</v>
      </c>
      <c r="V7" s="137">
        <f>'Resid Cust Fcst '!$AB8*'Resid TSM UC Adj'!R7</f>
        <v>0</v>
      </c>
      <c r="W7" s="23">
        <f>'Resid Cust Fcst '!$AB8*'Resid TSM UC Adj'!S7</f>
        <v>0</v>
      </c>
      <c r="X7" s="23">
        <f>'Resid Cust Fcst '!$AB8*'Resid TSM UC Adj'!T7</f>
        <v>0</v>
      </c>
      <c r="Y7" s="45">
        <f>IF(SUM(V7:X7)=0,0,SUM(V7:X7)/'Resid Cust Fcst '!AB8)</f>
        <v>0</v>
      </c>
      <c r="Z7" s="137">
        <f>R7+V7</f>
        <v>245.39104820707465</v>
      </c>
      <c r="AA7" s="23">
        <f t="shared" ref="AA7:AB22" si="1">S7+W7</f>
        <v>138.7130210066349</v>
      </c>
      <c r="AB7" s="23">
        <f t="shared" si="1"/>
        <v>246.24333484162895</v>
      </c>
      <c r="AC7" s="45">
        <f>IF(SUM(Z7:AB7)=0,0,SUM(Z7:AB7)/'Resid Cust Fcst '!AC8)</f>
        <v>630.34740405533853</v>
      </c>
    </row>
    <row r="8" spans="1:29">
      <c r="A8" s="155" t="s">
        <v>6</v>
      </c>
      <c r="B8" s="137">
        <f>'Resid Cust Fcst '!$W9*'Resid TSM UC Adj'!B8</f>
        <v>4627.374051904837</v>
      </c>
      <c r="C8" s="23">
        <f>'Resid Cust Fcst '!$W9*'Resid TSM UC Adj'!C8</f>
        <v>832.27812603980942</v>
      </c>
      <c r="D8" s="23">
        <f>'Resid Cust Fcst '!$W9*'Resid TSM UC Adj'!D8</f>
        <v>1477.4600090497738</v>
      </c>
      <c r="E8" s="45">
        <f>IF(SUM(B8:D8)=0,0,SUM(B8:D8)/'Resid Cust Fcst '!W9)</f>
        <v>1156.1853644990699</v>
      </c>
      <c r="F8" s="137">
        <f>'Resid Cust Fcst '!$X9*'Resid TSM UC Adj'!F8</f>
        <v>0</v>
      </c>
      <c r="G8" s="23">
        <f>'Resid Cust Fcst '!$X9*'Resid TSM UC Adj'!G8</f>
        <v>0</v>
      </c>
      <c r="H8" s="23">
        <f>'Resid Cust Fcst '!$X9*'Resid TSM UC Adj'!H8</f>
        <v>0</v>
      </c>
      <c r="I8" s="45">
        <f>IF(SUM(F8:H8)=0,0,SUM(F8:H8)/'Resid Cust Fcst '!X9)</f>
        <v>0</v>
      </c>
      <c r="J8" s="137">
        <f>'Resid Cust Fcst '!$Y9*'Resid TSM UC Adj'!J8</f>
        <v>0</v>
      </c>
      <c r="K8" s="23">
        <f>'Resid Cust Fcst '!$Y9*'Resid TSM UC Adj'!K8</f>
        <v>0</v>
      </c>
      <c r="L8" s="23">
        <f>'Resid Cust Fcst '!$Y9*'Resid TSM UC Adj'!L8</f>
        <v>0</v>
      </c>
      <c r="M8" s="45">
        <f>IF(SUM(J8:L8)=0,0,SUM(J8:L8)/'Resid Cust Fcst '!Y9)</f>
        <v>0</v>
      </c>
      <c r="N8" s="137">
        <f>'Resid Cust Fcst '!$Z9*'Resid TSM UC Adj'!N8</f>
        <v>0</v>
      </c>
      <c r="O8" s="23">
        <f>'Resid Cust Fcst '!$Z9*'Resid TSM UC Adj'!O8</f>
        <v>0</v>
      </c>
      <c r="P8" s="23">
        <f>'Resid Cust Fcst '!$Z9*'Resid TSM UC Adj'!P8</f>
        <v>0</v>
      </c>
      <c r="Q8" s="45">
        <f>IF(SUM(N8:P8)=0,0,SUM(N8:P8)/'Resid Cust Fcst '!Z9)</f>
        <v>0</v>
      </c>
      <c r="R8" s="137">
        <f t="shared" ref="R8:R37" si="2">B8+F8+J8+N8</f>
        <v>4627.374051904837</v>
      </c>
      <c r="S8" s="23">
        <f t="shared" si="0"/>
        <v>832.27812603980942</v>
      </c>
      <c r="T8" s="23">
        <f t="shared" si="0"/>
        <v>1477.4600090497738</v>
      </c>
      <c r="U8" s="45">
        <f>IF(SUM(R8:T8)=0,0,SUM(R8:T8)/'Resid Cust Fcst '!AA9)</f>
        <v>1156.1853644990699</v>
      </c>
      <c r="V8" s="137">
        <f>'Resid Cust Fcst '!$AB9*'Resid TSM UC Adj'!R8</f>
        <v>0</v>
      </c>
      <c r="W8" s="23">
        <f>'Resid Cust Fcst '!$AB9*'Resid TSM UC Adj'!S8</f>
        <v>0</v>
      </c>
      <c r="X8" s="23">
        <f>'Resid Cust Fcst '!$AB9*'Resid TSM UC Adj'!T8</f>
        <v>0</v>
      </c>
      <c r="Y8" s="45">
        <f>IF(SUM(V8:X8)=0,0,SUM(V8:X8)/'Resid Cust Fcst '!AB9)</f>
        <v>0</v>
      </c>
      <c r="Z8" s="137">
        <f t="shared" ref="Z8:Z37" si="3">R8+V8</f>
        <v>4627.374051904837</v>
      </c>
      <c r="AA8" s="23">
        <f t="shared" si="1"/>
        <v>832.27812603980942</v>
      </c>
      <c r="AB8" s="23">
        <f t="shared" si="1"/>
        <v>1477.4600090497738</v>
      </c>
      <c r="AC8" s="45">
        <f>IF(SUM(Z8:AB8)=0,0,SUM(Z8:AB8)/'Resid Cust Fcst '!AC9)</f>
        <v>1156.1853644990699</v>
      </c>
    </row>
    <row r="9" spans="1:29">
      <c r="A9" s="155" t="s">
        <v>7</v>
      </c>
      <c r="B9" s="137">
        <f>'Resid Cust Fcst '!$W10*'Resid TSM UC Adj'!B9</f>
        <v>14171.333033958561</v>
      </c>
      <c r="C9" s="23">
        <f>'Resid Cust Fcst '!$W10*'Resid TSM UC Adj'!C9</f>
        <v>4105.9681322786655</v>
      </c>
      <c r="D9" s="23">
        <f>'Resid Cust Fcst '!$W10*'Resid TSM UC Adj'!D9</f>
        <v>5171.1100316742077</v>
      </c>
      <c r="E9" s="45">
        <f>IF(SUM(B9:D9)=0,0,SUM(B9:D9)/'Resid Cust Fcst '!W10)</f>
        <v>1116.5910094243541</v>
      </c>
      <c r="F9" s="137">
        <f>'Resid Cust Fcst '!$X10*'Resid TSM UC Adj'!F9</f>
        <v>0</v>
      </c>
      <c r="G9" s="23">
        <f>'Resid Cust Fcst '!$X10*'Resid TSM UC Adj'!G9</f>
        <v>0</v>
      </c>
      <c r="H9" s="23">
        <f>'Resid Cust Fcst '!$X10*'Resid TSM UC Adj'!H9</f>
        <v>0</v>
      </c>
      <c r="I9" s="45">
        <f>IF(SUM(F9:H9)=0,0,SUM(F9:H9)/'Resid Cust Fcst '!X10)</f>
        <v>0</v>
      </c>
      <c r="J9" s="137">
        <f>'Resid Cust Fcst '!$Y10*'Resid TSM UC Adj'!J9</f>
        <v>0</v>
      </c>
      <c r="K9" s="23">
        <f>'Resid Cust Fcst '!$Y10*'Resid TSM UC Adj'!K9</f>
        <v>0</v>
      </c>
      <c r="L9" s="23">
        <f>'Resid Cust Fcst '!$Y10*'Resid TSM UC Adj'!L9</f>
        <v>0</v>
      </c>
      <c r="M9" s="45">
        <f>IF(SUM(J9:L9)=0,0,SUM(J9:L9)/'Resid Cust Fcst '!Y10)</f>
        <v>0</v>
      </c>
      <c r="N9" s="137">
        <f>'Resid Cust Fcst '!$Z10*'Resid TSM UC Adj'!N9</f>
        <v>0</v>
      </c>
      <c r="O9" s="23">
        <f>'Resid Cust Fcst '!$Z10*'Resid TSM UC Adj'!O9</f>
        <v>0</v>
      </c>
      <c r="P9" s="23">
        <f>'Resid Cust Fcst '!$Z10*'Resid TSM UC Adj'!P9</f>
        <v>0</v>
      </c>
      <c r="Q9" s="45">
        <f>IF(SUM(N9:P9)=0,0,SUM(N9:P9)/'Resid Cust Fcst '!Z10)</f>
        <v>0</v>
      </c>
      <c r="R9" s="137">
        <f t="shared" si="2"/>
        <v>14171.333033958561</v>
      </c>
      <c r="S9" s="23">
        <f t="shared" si="0"/>
        <v>4105.9681322786655</v>
      </c>
      <c r="T9" s="23">
        <f t="shared" si="0"/>
        <v>5171.1100316742077</v>
      </c>
      <c r="U9" s="45">
        <f>IF(SUM(R9:T9)=0,0,SUM(R9:T9)/'Resid Cust Fcst '!AA10)</f>
        <v>1116.5910094243541</v>
      </c>
      <c r="V9" s="137">
        <f>'Resid Cust Fcst '!$AB10*'Resid TSM UC Adj'!R9</f>
        <v>0</v>
      </c>
      <c r="W9" s="23">
        <f>'Resid Cust Fcst '!$AB10*'Resid TSM UC Adj'!S9</f>
        <v>0</v>
      </c>
      <c r="X9" s="23">
        <f>'Resid Cust Fcst '!$AB10*'Resid TSM UC Adj'!T9</f>
        <v>0</v>
      </c>
      <c r="Y9" s="45">
        <f>IF(SUM(V9:X9)=0,0,SUM(V9:X9)/'Resid Cust Fcst '!AB10)</f>
        <v>0</v>
      </c>
      <c r="Z9" s="137">
        <f t="shared" si="3"/>
        <v>14171.333033958561</v>
      </c>
      <c r="AA9" s="23">
        <f t="shared" si="1"/>
        <v>4105.9681322786655</v>
      </c>
      <c r="AB9" s="23">
        <f t="shared" si="1"/>
        <v>5171.1100316742077</v>
      </c>
      <c r="AC9" s="45">
        <f>IF(SUM(Z9:AB9)=0,0,SUM(Z9:AB9)/'Resid Cust Fcst '!AC10)</f>
        <v>1116.5910094243541</v>
      </c>
    </row>
    <row r="10" spans="1:29" s="58" customFormat="1">
      <c r="A10" s="288" t="s">
        <v>124</v>
      </c>
      <c r="B10" s="137">
        <f>'Resid Cust Fcst '!$W11*'Resid TSM UC Adj'!B10</f>
        <v>21594.41224222257</v>
      </c>
      <c r="C10" s="23">
        <f>'Resid Cust Fcst '!$W11*'Resid TSM UC Adj'!C10</f>
        <v>3419.708770864876</v>
      </c>
      <c r="D10" s="23">
        <f>'Resid Cust Fcst '!$W11*'Resid TSM UC Adj'!D10</f>
        <v>3939.8933574660632</v>
      </c>
      <c r="E10" s="45">
        <f>IF(SUM(B10:D10)=0,0,SUM(B10:D10)/'Resid Cust Fcst '!W11)</f>
        <v>1809.6258981595943</v>
      </c>
      <c r="F10" s="137">
        <f>'Resid Cust Fcst '!$X11*'Resid TSM UC Adj'!F10</f>
        <v>1979.5343746713816</v>
      </c>
      <c r="G10" s="23">
        <f>'Resid Cust Fcst '!$X11*'Resid TSM UC Adj'!G10</f>
        <v>888.28562532861781</v>
      </c>
      <c r="H10" s="23">
        <f>'Resid Cust Fcst '!$X11*'Resid TSM UC Adj'!H10</f>
        <v>373.18</v>
      </c>
      <c r="I10" s="45">
        <f>IF(SUM(F10:H10)=0,0,SUM(F10:H10)/'Resid Cust Fcst '!X11)</f>
        <v>3240.9999999999991</v>
      </c>
      <c r="J10" s="137">
        <f>'Resid Cust Fcst '!$Y11*'Resid TSM UC Adj'!J10</f>
        <v>0</v>
      </c>
      <c r="K10" s="23">
        <f>'Resid Cust Fcst '!$Y11*'Resid TSM UC Adj'!K10</f>
        <v>0</v>
      </c>
      <c r="L10" s="23">
        <f>'Resid Cust Fcst '!$Y11*'Resid TSM UC Adj'!L10</f>
        <v>0</v>
      </c>
      <c r="M10" s="45">
        <f>IF(SUM(J10:L10)=0,0,SUM(J10:L10)/'Resid Cust Fcst '!Y11)</f>
        <v>0</v>
      </c>
      <c r="N10" s="137">
        <f>'Resid Cust Fcst '!$Z11*'Resid TSM UC Adj'!N10</f>
        <v>0</v>
      </c>
      <c r="O10" s="23">
        <f>'Resid Cust Fcst '!$Z11*'Resid TSM UC Adj'!O10</f>
        <v>0</v>
      </c>
      <c r="P10" s="23">
        <f>'Resid Cust Fcst '!$Z11*'Resid TSM UC Adj'!P10</f>
        <v>0</v>
      </c>
      <c r="Q10" s="45">
        <f>IF(SUM(N10:P10)=0,0,SUM(N10:P10)/'Resid Cust Fcst '!Z11)</f>
        <v>0</v>
      </c>
      <c r="R10" s="137">
        <f t="shared" si="2"/>
        <v>23573.946616893951</v>
      </c>
      <c r="S10" s="23">
        <f t="shared" si="0"/>
        <v>4307.9943961934941</v>
      </c>
      <c r="T10" s="23">
        <f t="shared" si="0"/>
        <v>4313.0733574660635</v>
      </c>
      <c r="U10" s="45">
        <f>IF(SUM(R10:T10)=0,0,SUM(R10:T10)/'Resid Cust Fcst '!AA11)</f>
        <v>1893.8243747384417</v>
      </c>
      <c r="V10" s="137">
        <f>'Resid Cust Fcst '!$AB11*'Resid TSM UC Adj'!R10</f>
        <v>0</v>
      </c>
      <c r="W10" s="23">
        <f>'Resid Cust Fcst '!$AB11*'Resid TSM UC Adj'!S10</f>
        <v>0</v>
      </c>
      <c r="X10" s="23">
        <f>'Resid Cust Fcst '!$AB11*'Resid TSM UC Adj'!T10</f>
        <v>0</v>
      </c>
      <c r="Y10" s="45">
        <f>IF(SUM(V10:X10)=0,0,SUM(V10:X10)/'Resid Cust Fcst '!AB11)</f>
        <v>0</v>
      </c>
      <c r="Z10" s="137">
        <f t="shared" si="3"/>
        <v>23573.946616893951</v>
      </c>
      <c r="AA10" s="23">
        <f t="shared" si="1"/>
        <v>4307.9943961934941</v>
      </c>
      <c r="AB10" s="23">
        <f t="shared" si="1"/>
        <v>4313.0733574660635</v>
      </c>
      <c r="AC10" s="45">
        <f>IF(SUM(Z10:AB10)=0,0,SUM(Z10:AB10)/'Resid Cust Fcst '!AC11)</f>
        <v>1893.8243747384417</v>
      </c>
    </row>
    <row r="11" spans="1:29">
      <c r="A11" s="153" t="s">
        <v>116</v>
      </c>
      <c r="B11" s="137">
        <f>'Resid Cust Fcst '!$W12*'Resid TSM UC Adj'!B11</f>
        <v>20244.761477083659</v>
      </c>
      <c r="C11" s="23">
        <f>'Resid Cust Fcst '!$W12*'Resid TSM UC Adj'!C11</f>
        <v>3205.9769726858212</v>
      </c>
      <c r="D11" s="23">
        <f>'Resid Cust Fcst '!$W12*'Resid TSM UC Adj'!D11</f>
        <v>3693.6500226244343</v>
      </c>
      <c r="E11" s="45">
        <f>IF(SUM(B11:D11)=0,0,SUM(B11:D11)/'Resid Cust Fcst '!W12)</f>
        <v>1809.6258981595943</v>
      </c>
      <c r="F11" s="137">
        <f>'Resid Cust Fcst '!$X12*'Resid TSM UC Adj'!F11</f>
        <v>0</v>
      </c>
      <c r="G11" s="23">
        <f>'Resid Cust Fcst '!$X12*'Resid TSM UC Adj'!G11</f>
        <v>0</v>
      </c>
      <c r="H11" s="23">
        <f>'Resid Cust Fcst '!$X12*'Resid TSM UC Adj'!H11</f>
        <v>0</v>
      </c>
      <c r="I11" s="45">
        <f>IF(SUM(F11:H11)=0,0,SUM(F11:H11)/'Resid Cust Fcst '!X12)</f>
        <v>0</v>
      </c>
      <c r="J11" s="137">
        <f>'Resid Cust Fcst '!$Y12*'Resid TSM UC Adj'!J11</f>
        <v>0</v>
      </c>
      <c r="K11" s="23">
        <f>'Resid Cust Fcst '!$Y12*'Resid TSM UC Adj'!K11</f>
        <v>0</v>
      </c>
      <c r="L11" s="23">
        <f>'Resid Cust Fcst '!$Y12*'Resid TSM UC Adj'!L11</f>
        <v>0</v>
      </c>
      <c r="M11" s="45">
        <f>IF(SUM(J11:L11)=0,0,SUM(J11:L11)/'Resid Cust Fcst '!Y12)</f>
        <v>0</v>
      </c>
      <c r="N11" s="137">
        <f>'Resid Cust Fcst '!$Z12*'Resid TSM UC Adj'!N11</f>
        <v>0</v>
      </c>
      <c r="O11" s="23">
        <f>'Resid Cust Fcst '!$Z12*'Resid TSM UC Adj'!O11</f>
        <v>0</v>
      </c>
      <c r="P11" s="23">
        <f>'Resid Cust Fcst '!$Z12*'Resid TSM UC Adj'!P11</f>
        <v>0</v>
      </c>
      <c r="Q11" s="45">
        <f>IF(SUM(N11:P11)=0,0,SUM(N11:P11)/'Resid Cust Fcst '!Z12)</f>
        <v>0</v>
      </c>
      <c r="R11" s="137">
        <f t="shared" si="2"/>
        <v>20244.761477083659</v>
      </c>
      <c r="S11" s="23">
        <f t="shared" si="0"/>
        <v>3205.9769726858212</v>
      </c>
      <c r="T11" s="23">
        <f t="shared" si="0"/>
        <v>3693.6500226244343</v>
      </c>
      <c r="U11" s="45">
        <f>IF(SUM(R11:T11)=0,0,SUM(R11:T11)/'Resid Cust Fcst '!AA12)</f>
        <v>1809.6258981595943</v>
      </c>
      <c r="V11" s="137">
        <f>'Resid Cust Fcst '!$AB12*'Resid TSM UC Adj'!R11</f>
        <v>0</v>
      </c>
      <c r="W11" s="23">
        <f>'Resid Cust Fcst '!$AB12*'Resid TSM UC Adj'!S11</f>
        <v>0</v>
      </c>
      <c r="X11" s="23">
        <f>'Resid Cust Fcst '!$AB12*'Resid TSM UC Adj'!T11</f>
        <v>0</v>
      </c>
      <c r="Y11" s="45">
        <f>IF(SUM(V11:X11)=0,0,SUM(V11:X11)/'Resid Cust Fcst '!AB12)</f>
        <v>0</v>
      </c>
      <c r="Z11" s="137">
        <f t="shared" si="3"/>
        <v>20244.761477083659</v>
      </c>
      <c r="AA11" s="23">
        <f t="shared" si="1"/>
        <v>3205.9769726858212</v>
      </c>
      <c r="AB11" s="23">
        <f t="shared" si="1"/>
        <v>3693.6500226244343</v>
      </c>
      <c r="AC11" s="45">
        <f>IF(SUM(Z11:AB11)=0,0,SUM(Z11:AB11)/'Resid Cust Fcst '!AC12)</f>
        <v>1809.6258981595943</v>
      </c>
    </row>
    <row r="12" spans="1:29">
      <c r="A12" s="153" t="s">
        <v>8</v>
      </c>
      <c r="B12" s="137">
        <f>'Resid Cust Fcst '!$W13*'Resid TSM UC Adj'!B12</f>
        <v>118901.41526640482</v>
      </c>
      <c r="C12" s="23">
        <f>'Resid Cust Fcst '!$W13*'Resid TSM UC Adj'!C12</f>
        <v>42252.808563402796</v>
      </c>
      <c r="D12" s="23">
        <f>'Resid Cust Fcst '!$W13*'Resid TSM UC Adj'!D12</f>
        <v>20191.953457013573</v>
      </c>
      <c r="E12" s="45">
        <f>IF(SUM(B12:D12)=0,0,SUM(B12:D12)/'Resid Cust Fcst '!W13)</f>
        <v>2211.5387474002582</v>
      </c>
      <c r="F12" s="137">
        <f>'Resid Cust Fcst '!$X13*'Resid TSM UC Adj'!F12</f>
        <v>0</v>
      </c>
      <c r="G12" s="23">
        <f>'Resid Cust Fcst '!$X13*'Resid TSM UC Adj'!G12</f>
        <v>0</v>
      </c>
      <c r="H12" s="23">
        <f>'Resid Cust Fcst '!$X13*'Resid TSM UC Adj'!H12</f>
        <v>0</v>
      </c>
      <c r="I12" s="45">
        <f>IF(SUM(F12:H12)=0,0,SUM(F12:H12)/'Resid Cust Fcst '!X13)</f>
        <v>0</v>
      </c>
      <c r="J12" s="137">
        <f>'Resid Cust Fcst '!$Y13*'Resid TSM UC Adj'!J12</f>
        <v>0</v>
      </c>
      <c r="K12" s="23">
        <f>'Resid Cust Fcst '!$Y13*'Resid TSM UC Adj'!K12</f>
        <v>0</v>
      </c>
      <c r="L12" s="23">
        <f>'Resid Cust Fcst '!$Y13*'Resid TSM UC Adj'!L12</f>
        <v>0</v>
      </c>
      <c r="M12" s="45">
        <f>IF(SUM(J12:L12)=0,0,SUM(J12:L12)/'Resid Cust Fcst '!Y13)</f>
        <v>0</v>
      </c>
      <c r="N12" s="137">
        <f>'Resid Cust Fcst '!$Z13*'Resid TSM UC Adj'!N12</f>
        <v>1711.248584020168</v>
      </c>
      <c r="O12" s="23">
        <f>'Resid Cust Fcst '!$Z13*'Resid TSM UC Adj'!O12</f>
        <v>1156.5714159798322</v>
      </c>
      <c r="P12" s="23">
        <f>'Resid Cust Fcst '!$Z13*'Resid TSM UC Adj'!P12</f>
        <v>373.18</v>
      </c>
      <c r="Q12" s="45">
        <f>IF(SUM(N12:P12)=0,0,SUM(N12:P12)/'Resid Cust Fcst '!Z13)</f>
        <v>3241</v>
      </c>
      <c r="R12" s="137">
        <f t="shared" si="2"/>
        <v>120612.66385042499</v>
      </c>
      <c r="S12" s="23">
        <f t="shared" si="0"/>
        <v>43409.379979382626</v>
      </c>
      <c r="T12" s="23">
        <f t="shared" si="0"/>
        <v>20565.133457013573</v>
      </c>
      <c r="U12" s="45">
        <f>IF(SUM(R12:T12)=0,0,SUM(R12:T12)/'Resid Cust Fcst '!AA13)</f>
        <v>2223.9418950219419</v>
      </c>
      <c r="V12" s="137">
        <f>'Resid Cust Fcst '!$AB13*'Resid TSM UC Adj'!R12</f>
        <v>0</v>
      </c>
      <c r="W12" s="23">
        <f>'Resid Cust Fcst '!$AB13*'Resid TSM UC Adj'!S12</f>
        <v>4455.92</v>
      </c>
      <c r="X12" s="23">
        <f>'Resid Cust Fcst '!$AB13*'Resid TSM UC Adj'!T12</f>
        <v>2026.08</v>
      </c>
      <c r="Y12" s="45">
        <f>IF(SUM(V12:X12)=0,0,SUM(V12:X12)/'Resid Cust Fcst '!AB13)</f>
        <v>3241</v>
      </c>
      <c r="Z12" s="137">
        <f t="shared" si="3"/>
        <v>120612.66385042499</v>
      </c>
      <c r="AA12" s="23">
        <f t="shared" si="1"/>
        <v>47865.299979382624</v>
      </c>
      <c r="AB12" s="23">
        <f t="shared" si="1"/>
        <v>22591.213457013575</v>
      </c>
      <c r="AC12" s="45">
        <f>IF(SUM(Z12:AB12)=0,0,SUM(Z12:AB12)/'Resid Cust Fcst '!AC13)</f>
        <v>2247.8726739626022</v>
      </c>
    </row>
    <row r="13" spans="1:29">
      <c r="A13" s="153" t="s">
        <v>9</v>
      </c>
      <c r="B13" s="137">
        <f>'Resid Cust Fcst '!$W14*'Resid TSM UC Adj'!B13</f>
        <v>106064.5660185296</v>
      </c>
      <c r="C13" s="23">
        <f>'Resid Cust Fcst '!$W14*'Resid TSM UC Adj'!C13</f>
        <v>40678.51057423056</v>
      </c>
      <c r="D13" s="23">
        <f>'Resid Cust Fcst '!$W14*'Resid TSM UC Adj'!D13</f>
        <v>12065.923407239819</v>
      </c>
      <c r="E13" s="45">
        <f>IF(SUM(B13:D13)=0,0,SUM(B13:D13)/'Resid Cust Fcst '!W14)</f>
        <v>3240.9999999999995</v>
      </c>
      <c r="F13" s="137">
        <f>'Resid Cust Fcst '!$X14*'Resid TSM UC Adj'!F13</f>
        <v>1086.3440211748748</v>
      </c>
      <c r="G13" s="23">
        <f>'Resid Cust Fcst '!$X14*'Resid TSM UC Adj'!G13</f>
        <v>1781.4759788251249</v>
      </c>
      <c r="H13" s="23">
        <f>'Resid Cust Fcst '!$X14*'Resid TSM UC Adj'!H13</f>
        <v>373.18</v>
      </c>
      <c r="I13" s="45">
        <f>IF(SUM(F13:H13)=0,0,SUM(F13:H13)/'Resid Cust Fcst '!X14)</f>
        <v>3240.9999999999995</v>
      </c>
      <c r="J13" s="137">
        <f>'Resid Cust Fcst '!$Y14*'Resid TSM UC Adj'!J13</f>
        <v>3259.0320635246244</v>
      </c>
      <c r="K13" s="23">
        <f>'Resid Cust Fcst '!$Y14*'Resid TSM UC Adj'!K13</f>
        <v>5344.4279364753747</v>
      </c>
      <c r="L13" s="23">
        <f>'Resid Cust Fcst '!$Y14*'Resid TSM UC Adj'!L13</f>
        <v>1119.54</v>
      </c>
      <c r="M13" s="45">
        <f>IF(SUM(J13:L13)=0,0,SUM(J13:L13)/'Resid Cust Fcst '!Y14)</f>
        <v>3241</v>
      </c>
      <c r="N13" s="137">
        <f>'Resid Cust Fcst '!$Z14*'Resid TSM UC Adj'!N13</f>
        <v>10267.491504121008</v>
      </c>
      <c r="O13" s="23">
        <f>'Resid Cust Fcst '!$Z14*'Resid TSM UC Adj'!O13</f>
        <v>6939.4284958789931</v>
      </c>
      <c r="P13" s="23">
        <f>'Resid Cust Fcst '!$Z14*'Resid TSM UC Adj'!P13</f>
        <v>2239.08</v>
      </c>
      <c r="Q13" s="45">
        <f>IF(SUM(N13:P13)=0,0,SUM(N13:P13)/'Resid Cust Fcst '!Z14)</f>
        <v>3241</v>
      </c>
      <c r="R13" s="137">
        <f t="shared" si="2"/>
        <v>120677.43360735009</v>
      </c>
      <c r="S13" s="23">
        <f t="shared" si="0"/>
        <v>54743.842985410054</v>
      </c>
      <c r="T13" s="23">
        <f t="shared" si="0"/>
        <v>15797.723407239819</v>
      </c>
      <c r="U13" s="45">
        <f>IF(SUM(R13:T13)=0,0,SUM(R13:T13)/'Resid Cust Fcst '!AA14)</f>
        <v>3240.9999999999995</v>
      </c>
      <c r="V13" s="137">
        <f>'Resid Cust Fcst '!$AB14*'Resid TSM UC Adj'!R13</f>
        <v>0</v>
      </c>
      <c r="W13" s="23">
        <f>'Resid Cust Fcst '!$AB14*'Resid TSM UC Adj'!S13</f>
        <v>0</v>
      </c>
      <c r="X13" s="23">
        <f>'Resid Cust Fcst '!$AB14*'Resid TSM UC Adj'!T13</f>
        <v>0</v>
      </c>
      <c r="Y13" s="45">
        <f>IF(SUM(V13:X13)=0,0,SUM(V13:X13)/'Resid Cust Fcst '!AB14)</f>
        <v>0</v>
      </c>
      <c r="Z13" s="137">
        <f t="shared" si="3"/>
        <v>120677.43360735009</v>
      </c>
      <c r="AA13" s="23">
        <f t="shared" si="1"/>
        <v>54743.842985410054</v>
      </c>
      <c r="AB13" s="23">
        <f t="shared" si="1"/>
        <v>15797.723407239819</v>
      </c>
      <c r="AC13" s="45">
        <f>IF(SUM(Z13:AB13)=0,0,SUM(Z13:AB13)/'Resid Cust Fcst '!AC14)</f>
        <v>3240.9999999999995</v>
      </c>
    </row>
    <row r="14" spans="1:29">
      <c r="A14" s="153" t="s">
        <v>10</v>
      </c>
      <c r="B14" s="137">
        <f>'Resid Cust Fcst '!$W15*'Resid TSM UC Adj'!B14</f>
        <v>31158.886985195502</v>
      </c>
      <c r="C14" s="23">
        <f>'Resid Cust Fcst '!$W15*'Resid TSM UC Adj'!C14</f>
        <v>34725.759648288666</v>
      </c>
      <c r="D14" s="23">
        <f>'Resid Cust Fcst '!$W15*'Resid TSM UC Adj'!D14</f>
        <v>5417.3533665158366</v>
      </c>
      <c r="E14" s="45">
        <f>IF(SUM(B14:D14)=0,0,SUM(B14:D14)/'Resid Cust Fcst '!W15)</f>
        <v>3241</v>
      </c>
      <c r="F14" s="137">
        <f>'Resid Cust Fcst '!$X15*'Resid TSM UC Adj'!F14</f>
        <v>2172.6880423497496</v>
      </c>
      <c r="G14" s="23">
        <f>'Resid Cust Fcst '!$X15*'Resid TSM UC Adj'!G14</f>
        <v>3562.9519576502498</v>
      </c>
      <c r="H14" s="23">
        <f>'Resid Cust Fcst '!$X15*'Resid TSM UC Adj'!H14</f>
        <v>746.36</v>
      </c>
      <c r="I14" s="45">
        <f>IF(SUM(F14:H14)=0,0,SUM(F14:H14)/'Resid Cust Fcst '!X15)</f>
        <v>3240.9999999999995</v>
      </c>
      <c r="J14" s="137">
        <f>'Resid Cust Fcst '!$Y15*'Resid TSM UC Adj'!J14</f>
        <v>2172.6880423497496</v>
      </c>
      <c r="K14" s="23">
        <f>'Resid Cust Fcst '!$Y15*'Resid TSM UC Adj'!K14</f>
        <v>3562.9519576502498</v>
      </c>
      <c r="L14" s="23">
        <f>'Resid Cust Fcst '!$Y15*'Resid TSM UC Adj'!L14</f>
        <v>746.36</v>
      </c>
      <c r="M14" s="45">
        <f>IF(SUM(J14:L14)=0,0,SUM(J14:L14)/'Resid Cust Fcst '!Y15)</f>
        <v>3240.9999999999995</v>
      </c>
      <c r="N14" s="137">
        <f>'Resid Cust Fcst '!$Z15*'Resid TSM UC Adj'!N14</f>
        <v>3259.0320635246244</v>
      </c>
      <c r="O14" s="23">
        <f>'Resid Cust Fcst '!$Z15*'Resid TSM UC Adj'!O14</f>
        <v>5344.4279364753747</v>
      </c>
      <c r="P14" s="23">
        <f>'Resid Cust Fcst '!$Z15*'Resid TSM UC Adj'!P14</f>
        <v>1119.54</v>
      </c>
      <c r="Q14" s="45">
        <f>IF(SUM(N14:P14)=0,0,SUM(N14:P14)/'Resid Cust Fcst '!Z15)</f>
        <v>3241</v>
      </c>
      <c r="R14" s="137">
        <f t="shared" si="2"/>
        <v>38763.295133419626</v>
      </c>
      <c r="S14" s="23">
        <f t="shared" si="0"/>
        <v>47196.09150006454</v>
      </c>
      <c r="T14" s="23">
        <f t="shared" si="0"/>
        <v>8029.6133665158359</v>
      </c>
      <c r="U14" s="45">
        <f>IF(SUM(R14:T14)=0,0,SUM(R14:T14)/'Resid Cust Fcst '!AA15)</f>
        <v>3241</v>
      </c>
      <c r="V14" s="137">
        <f>'Resid Cust Fcst '!$AB15*'Resid TSM UC Adj'!R14</f>
        <v>0</v>
      </c>
      <c r="W14" s="23">
        <f>'Resid Cust Fcst '!$AB15*'Resid TSM UC Adj'!S14</f>
        <v>8911.84</v>
      </c>
      <c r="X14" s="23">
        <f>'Resid Cust Fcst '!$AB15*'Resid TSM UC Adj'!T14</f>
        <v>4052.16</v>
      </c>
      <c r="Y14" s="45">
        <f>IF(SUM(V14:X14)=0,0,SUM(V14:X14)/'Resid Cust Fcst '!AB15)</f>
        <v>3241</v>
      </c>
      <c r="Z14" s="137">
        <f t="shared" si="3"/>
        <v>38763.295133419626</v>
      </c>
      <c r="AA14" s="23">
        <f t="shared" si="1"/>
        <v>56107.931500064544</v>
      </c>
      <c r="AB14" s="23">
        <f t="shared" si="1"/>
        <v>12081.773366515836</v>
      </c>
      <c r="AC14" s="45">
        <f>IF(SUM(Z14:AB14)=0,0,SUM(Z14:AB14)/'Resid Cust Fcst '!AC15)</f>
        <v>3241</v>
      </c>
    </row>
    <row r="15" spans="1:29">
      <c r="A15" s="153" t="s">
        <v>11</v>
      </c>
      <c r="B15" s="137">
        <f>'Resid Cust Fcst '!$W16*'Resid TSM UC Adj'!B15</f>
        <v>22713.465726169972</v>
      </c>
      <c r="C15" s="23">
        <f>'Resid Cust Fcst '!$W16*'Resid TSM UC Adj'!C15</f>
        <v>79108.260889214624</v>
      </c>
      <c r="D15" s="23">
        <f>'Resid Cust Fcst '!$W16*'Resid TSM UC Adj'!D15</f>
        <v>8372.2733846153842</v>
      </c>
      <c r="E15" s="45">
        <f>IF(SUM(B15:D15)=0,0,SUM(B15:D15)/'Resid Cust Fcst '!W16)</f>
        <v>3240.9999999999995</v>
      </c>
      <c r="F15" s="137">
        <f>'Resid Cust Fcst '!$X16*'Resid TSM UC Adj'!F15</f>
        <v>0</v>
      </c>
      <c r="G15" s="23">
        <f>'Resid Cust Fcst '!$X16*'Resid TSM UC Adj'!G15</f>
        <v>2867.8199999999997</v>
      </c>
      <c r="H15" s="23">
        <f>'Resid Cust Fcst '!$X16*'Resid TSM UC Adj'!H15</f>
        <v>373.18</v>
      </c>
      <c r="I15" s="45">
        <f>IF(SUM(F15:H15)=0,0,SUM(F15:H15)/'Resid Cust Fcst '!X16)</f>
        <v>3240.9999999999995</v>
      </c>
      <c r="J15" s="137">
        <f>'Resid Cust Fcst '!$Y16*'Resid TSM UC Adj'!J15</f>
        <v>0</v>
      </c>
      <c r="K15" s="23">
        <f>'Resid Cust Fcst '!$Y16*'Resid TSM UC Adj'!K15</f>
        <v>2867.8199999999997</v>
      </c>
      <c r="L15" s="23">
        <f>'Resid Cust Fcst '!$Y16*'Resid TSM UC Adj'!L15</f>
        <v>373.18</v>
      </c>
      <c r="M15" s="45">
        <f>IF(SUM(J15:L15)=0,0,SUM(J15:L15)/'Resid Cust Fcst '!Y16)</f>
        <v>3240.9999999999995</v>
      </c>
      <c r="N15" s="137">
        <f>'Resid Cust Fcst '!$Z16*'Resid TSM UC Adj'!N15</f>
        <v>7604.4081482241236</v>
      </c>
      <c r="O15" s="23">
        <f>'Resid Cust Fcst '!$Z16*'Resid TSM UC Adj'!O15</f>
        <v>12470.331851775874</v>
      </c>
      <c r="P15" s="23">
        <f>'Resid Cust Fcst '!$Z16*'Resid TSM UC Adj'!P15</f>
        <v>2612.2600000000002</v>
      </c>
      <c r="Q15" s="45">
        <f>IF(SUM(N15:P15)=0,0,SUM(N15:P15)/'Resid Cust Fcst '!Z16)</f>
        <v>3241</v>
      </c>
      <c r="R15" s="137">
        <f t="shared" si="2"/>
        <v>30317.873874394096</v>
      </c>
      <c r="S15" s="23">
        <f t="shared" si="0"/>
        <v>97314.232740990497</v>
      </c>
      <c r="T15" s="23">
        <f t="shared" si="0"/>
        <v>11730.893384615385</v>
      </c>
      <c r="U15" s="45">
        <f>IF(SUM(R15:T15)=0,0,SUM(R15:T15)/'Resid Cust Fcst '!AA16)</f>
        <v>3240.9999999999995</v>
      </c>
      <c r="V15" s="137">
        <f>'Resid Cust Fcst '!$AB16*'Resid TSM UC Adj'!R15</f>
        <v>0</v>
      </c>
      <c r="W15" s="23">
        <f>'Resid Cust Fcst '!$AB16*'Resid TSM UC Adj'!S15</f>
        <v>11139.8</v>
      </c>
      <c r="X15" s="23">
        <f>'Resid Cust Fcst '!$AB16*'Resid TSM UC Adj'!T15</f>
        <v>5065.2</v>
      </c>
      <c r="Y15" s="45">
        <f>IF(SUM(V15:X15)=0,0,SUM(V15:X15)/'Resid Cust Fcst '!AB16)</f>
        <v>3241</v>
      </c>
      <c r="Z15" s="137">
        <f t="shared" si="3"/>
        <v>30317.873874394096</v>
      </c>
      <c r="AA15" s="23">
        <f t="shared" si="1"/>
        <v>108454.0327409905</v>
      </c>
      <c r="AB15" s="23">
        <f t="shared" si="1"/>
        <v>16796.093384615386</v>
      </c>
      <c r="AC15" s="45">
        <f>IF(SUM(Z15:AB15)=0,0,SUM(Z15:AB15)/'Resid Cust Fcst '!AC16)</f>
        <v>3240.9999999999995</v>
      </c>
    </row>
    <row r="16" spans="1:29">
      <c r="A16" s="153" t="s">
        <v>120</v>
      </c>
      <c r="B16" s="137">
        <f>'Resid Cust Fcst '!$W17*'Resid TSM UC Adj'!B16</f>
        <v>10020.646643898517</v>
      </c>
      <c r="C16" s="23">
        <f>'Resid Cust Fcst '!$W17*'Resid TSM UC Adj'!C16</f>
        <v>34900.703333477046</v>
      </c>
      <c r="D16" s="23">
        <f>'Resid Cust Fcst '!$W17*'Resid TSM UC Adj'!D16</f>
        <v>3693.6500226244343</v>
      </c>
      <c r="E16" s="45">
        <f>IF(SUM(B16:D16)=0,0,SUM(B16:D16)/'Resid Cust Fcst '!W17)</f>
        <v>3240.9999999999995</v>
      </c>
      <c r="F16" s="137">
        <f>'Resid Cust Fcst '!$X17*'Resid TSM UC Adj'!F16</f>
        <v>0</v>
      </c>
      <c r="G16" s="23">
        <f>'Resid Cust Fcst '!$X17*'Resid TSM UC Adj'!G16</f>
        <v>0</v>
      </c>
      <c r="H16" s="23">
        <f>'Resid Cust Fcst '!$X17*'Resid TSM UC Adj'!H16</f>
        <v>0</v>
      </c>
      <c r="I16" s="45">
        <f>IF(SUM(F16:H16)=0,0,SUM(F16:H16)/'Resid Cust Fcst '!X17)</f>
        <v>0</v>
      </c>
      <c r="J16" s="137">
        <f>'Resid Cust Fcst '!$Y17*'Resid TSM UC Adj'!J16</f>
        <v>0</v>
      </c>
      <c r="K16" s="23">
        <f>'Resid Cust Fcst '!$Y17*'Resid TSM UC Adj'!K16</f>
        <v>0</v>
      </c>
      <c r="L16" s="23">
        <f>'Resid Cust Fcst '!$Y17*'Resid TSM UC Adj'!L16</f>
        <v>0</v>
      </c>
      <c r="M16" s="45">
        <f>IF(SUM(J16:L16)=0,0,SUM(J16:L16)/'Resid Cust Fcst '!Y17)</f>
        <v>0</v>
      </c>
      <c r="N16" s="137">
        <f>'Resid Cust Fcst '!$Z17*'Resid TSM UC Adj'!N16</f>
        <v>2807.0311144126499</v>
      </c>
      <c r="O16" s="23">
        <f>'Resid Cust Fcst '!$Z17*'Resid TSM UC Adj'!O16</f>
        <v>14399.888885587352</v>
      </c>
      <c r="P16" s="23">
        <f>'Resid Cust Fcst '!$Z17*'Resid TSM UC Adj'!P16</f>
        <v>2239.08</v>
      </c>
      <c r="Q16" s="45">
        <f>IF(SUM(N16:P16)=0,0,SUM(N16:P16)/'Resid Cust Fcst '!Z17)</f>
        <v>3241</v>
      </c>
      <c r="R16" s="137">
        <f t="shared" si="2"/>
        <v>12827.677758311167</v>
      </c>
      <c r="S16" s="23">
        <f t="shared" si="0"/>
        <v>49300.592219064398</v>
      </c>
      <c r="T16" s="23">
        <f t="shared" si="0"/>
        <v>5932.7300226244342</v>
      </c>
      <c r="U16" s="45">
        <f>IF(SUM(R16:T16)=0,0,SUM(R16:T16)/'Resid Cust Fcst '!AA17)</f>
        <v>3241</v>
      </c>
      <c r="V16" s="137">
        <f>'Resid Cust Fcst '!$AB17*'Resid TSM UC Adj'!R16</f>
        <v>0</v>
      </c>
      <c r="W16" s="23">
        <f>'Resid Cust Fcst '!$AB17*'Resid TSM UC Adj'!S16</f>
        <v>11139.8</v>
      </c>
      <c r="X16" s="23">
        <f>'Resid Cust Fcst '!$AB17*'Resid TSM UC Adj'!T16</f>
        <v>5065.2</v>
      </c>
      <c r="Y16" s="45">
        <f>IF(SUM(V16:X16)=0,0,SUM(V16:X16)/'Resid Cust Fcst '!AB17)</f>
        <v>3241</v>
      </c>
      <c r="Z16" s="137">
        <f t="shared" si="3"/>
        <v>12827.677758311167</v>
      </c>
      <c r="AA16" s="23">
        <f t="shared" si="1"/>
        <v>60440.392219064393</v>
      </c>
      <c r="AB16" s="23">
        <f t="shared" si="1"/>
        <v>10997.930022624434</v>
      </c>
      <c r="AC16" s="45">
        <f>IF(SUM(Z16:AB16)=0,0,SUM(Z16:AB16)/'Resid Cust Fcst '!AC17)</f>
        <v>3241</v>
      </c>
    </row>
    <row r="17" spans="1:29">
      <c r="A17" s="153" t="s">
        <v>121</v>
      </c>
      <c r="B17" s="137">
        <f>'Resid Cust Fcst '!$W18*'Resid TSM UC Adj'!J17</f>
        <v>0</v>
      </c>
      <c r="C17" s="23">
        <f>'Resid Cust Fcst '!$W18*'Resid TSM UC Adj'!K17</f>
        <v>20074.739999999991</v>
      </c>
      <c r="D17" s="23">
        <f>'Resid Cust Fcst '!$W18*'Resid TSM UC Adj'!L17</f>
        <v>2612.2600000000002</v>
      </c>
      <c r="E17" s="45">
        <f>IF(SUM(B17:D17)=0,0,SUM(B17:D17)/'Resid Cust Fcst '!W18)</f>
        <v>3240.9999999999991</v>
      </c>
      <c r="F17" s="137">
        <f>'Resid Cust Fcst '!$X18*'Resid TSM UC Adj'!F17</f>
        <v>0</v>
      </c>
      <c r="G17" s="23">
        <f>'Resid Cust Fcst '!$X18*'Resid TSM UC Adj'!G17</f>
        <v>0</v>
      </c>
      <c r="H17" s="23">
        <f>'Resid Cust Fcst '!$X18*'Resid TSM UC Adj'!H17</f>
        <v>0</v>
      </c>
      <c r="I17" s="45">
        <f>IF(SUM(F17:H17)=0,0,SUM(F17:H17)/'Resid Cust Fcst '!X18)</f>
        <v>0</v>
      </c>
      <c r="J17" s="137">
        <f>'Resid Cust Fcst '!$Y18*'Resid TSM UC Adj'!J17</f>
        <v>0</v>
      </c>
      <c r="K17" s="23">
        <f>'Resid Cust Fcst '!$Y18*'Resid TSM UC Adj'!K17</f>
        <v>2867.8199999999988</v>
      </c>
      <c r="L17" s="23">
        <f>'Resid Cust Fcst '!$Y18*'Resid TSM UC Adj'!L17</f>
        <v>373.18</v>
      </c>
      <c r="M17" s="45">
        <f>IF(SUM(J17:L17)=0,0,SUM(J17:L17)/'Resid Cust Fcst '!Y18)</f>
        <v>3240.9999999999986</v>
      </c>
      <c r="N17" s="137">
        <f>'Resid Cust Fcst '!$Z18*'Resid TSM UC Adj'!N17</f>
        <v>1403.515557206325</v>
      </c>
      <c r="O17" s="23">
        <f>'Resid Cust Fcst '!$Z18*'Resid TSM UC Adj'!O17</f>
        <v>7199.944442793676</v>
      </c>
      <c r="P17" s="23">
        <f>'Resid Cust Fcst '!$Z18*'Resid TSM UC Adj'!P17</f>
        <v>1119.54</v>
      </c>
      <c r="Q17" s="45">
        <f>IF(SUM(N17:P17)=0,0,SUM(N17:P17)/'Resid Cust Fcst '!Z18)</f>
        <v>3241</v>
      </c>
      <c r="R17" s="137">
        <f t="shared" si="2"/>
        <v>1403.515557206325</v>
      </c>
      <c r="S17" s="23">
        <f t="shared" si="0"/>
        <v>30142.504442793666</v>
      </c>
      <c r="T17" s="23">
        <f t="shared" si="0"/>
        <v>4104.9799999999996</v>
      </c>
      <c r="U17" s="45">
        <f>IF(SUM(R17:T17)=0,0,SUM(R17:T17)/'Resid Cust Fcst '!AA18)</f>
        <v>3240.9999999999986</v>
      </c>
      <c r="V17" s="137">
        <f>'Resid Cust Fcst '!$AB18*'Resid TSM UC Adj'!R17</f>
        <v>0</v>
      </c>
      <c r="W17" s="23">
        <f>'Resid Cust Fcst '!$AB18*'Resid TSM UC Adj'!S17</f>
        <v>8911.84</v>
      </c>
      <c r="X17" s="23">
        <f>'Resid Cust Fcst '!$AB18*'Resid TSM UC Adj'!T17</f>
        <v>4052.16</v>
      </c>
      <c r="Y17" s="45">
        <f>IF(SUM(V17:X17)=0,0,SUM(V17:X17)/'Resid Cust Fcst '!AB18)</f>
        <v>3241</v>
      </c>
      <c r="Z17" s="137">
        <f t="shared" si="3"/>
        <v>1403.515557206325</v>
      </c>
      <c r="AA17" s="23">
        <f t="shared" si="1"/>
        <v>39054.344442793663</v>
      </c>
      <c r="AB17" s="23">
        <f t="shared" si="1"/>
        <v>8157.1399999999994</v>
      </c>
      <c r="AC17" s="45">
        <f>IF(SUM(Z17:AB17)=0,0,SUM(Z17:AB17)/'Resid Cust Fcst '!AC18)</f>
        <v>3240.9999999999991</v>
      </c>
    </row>
    <row r="18" spans="1:29">
      <c r="A18" s="153" t="s">
        <v>12</v>
      </c>
      <c r="B18" s="137">
        <f>'Resid Cust Fcst '!$W19*'Resid TSM UC Adj'!J18</f>
        <v>0</v>
      </c>
      <c r="C18" s="23">
        <f>'Resid Cust Fcst '!$W19*'Resid TSM UC Adj'!K18</f>
        <v>14339.099999999989</v>
      </c>
      <c r="D18" s="23">
        <f>'Resid Cust Fcst '!$W19*'Resid TSM UC Adj'!L18</f>
        <v>1865.9</v>
      </c>
      <c r="E18" s="45">
        <f>IF(SUM(B18:D18)=0,0,SUM(B18:D18)/'Resid Cust Fcst '!W19)</f>
        <v>3240.9999999999977</v>
      </c>
      <c r="F18" s="137">
        <f>'Resid Cust Fcst '!$X19*'Resid TSM UC Adj'!J18</f>
        <v>0</v>
      </c>
      <c r="G18" s="23">
        <f>'Resid Cust Fcst '!$X19*'Resid TSM UC Adj'!K18</f>
        <v>0</v>
      </c>
      <c r="H18" s="23">
        <f>'Resid Cust Fcst '!$X19*'Resid TSM UC Adj'!L18</f>
        <v>0</v>
      </c>
      <c r="I18" s="45">
        <f>IF(SUM(F18:H18)=0,0,SUM(F18:H18)/'Resid Cust Fcst '!X19)</f>
        <v>0</v>
      </c>
      <c r="J18" s="137">
        <f>'Resid Cust Fcst '!$Y19*'Resid TSM UC Adj'!J18</f>
        <v>0</v>
      </c>
      <c r="K18" s="23">
        <f>'Resid Cust Fcst '!$Y19*'Resid TSM UC Adj'!K18</f>
        <v>2867.8199999999979</v>
      </c>
      <c r="L18" s="23">
        <f>'Resid Cust Fcst '!$Y19*'Resid TSM UC Adj'!L18</f>
        <v>373.18</v>
      </c>
      <c r="M18" s="45">
        <f>IF(SUM(J18:L18)=0,0,SUM(J18:L18)/'Resid Cust Fcst '!Y19)</f>
        <v>3240.9999999999977</v>
      </c>
      <c r="N18" s="137">
        <f>'Resid Cust Fcst '!$Z19*'Resid TSM UC Adj'!N18</f>
        <v>0</v>
      </c>
      <c r="O18" s="23">
        <f>'Resid Cust Fcst '!$Z19*'Resid TSM UC Adj'!O18</f>
        <v>40149.48000000001</v>
      </c>
      <c r="P18" s="23">
        <f>'Resid Cust Fcst '!$Z19*'Resid TSM UC Adj'!P18</f>
        <v>5224.5200000000004</v>
      </c>
      <c r="Q18" s="45">
        <f>IF(SUM(N18:P18)=0,0,SUM(N18:P18)/'Resid Cust Fcst '!Z19)</f>
        <v>3241.0000000000009</v>
      </c>
      <c r="R18" s="137">
        <f t="shared" si="2"/>
        <v>0</v>
      </c>
      <c r="S18" s="23">
        <f t="shared" si="0"/>
        <v>57356.399999999994</v>
      </c>
      <c r="T18" s="23">
        <f t="shared" si="0"/>
        <v>7463.6</v>
      </c>
      <c r="U18" s="45">
        <f>IF(SUM(R18:T18)=0,0,SUM(R18:T18)/'Resid Cust Fcst '!AA19)</f>
        <v>3240.9999999999995</v>
      </c>
      <c r="V18" s="137">
        <f>'Resid Cust Fcst '!$AB19*'Resid TSM UC Adj'!R18</f>
        <v>0</v>
      </c>
      <c r="W18" s="23">
        <f>'Resid Cust Fcst '!$AB19*'Resid TSM UC Adj'!S18</f>
        <v>15595.720000000001</v>
      </c>
      <c r="X18" s="23">
        <f>'Resid Cust Fcst '!$AB19*'Resid TSM UC Adj'!T18</f>
        <v>7091.28</v>
      </c>
      <c r="Y18" s="45">
        <f>IF(SUM(V18:X18)=0,0,SUM(V18:X18)/'Resid Cust Fcst '!AB19)</f>
        <v>3241</v>
      </c>
      <c r="Z18" s="137">
        <f t="shared" si="3"/>
        <v>0</v>
      </c>
      <c r="AA18" s="23">
        <f t="shared" si="1"/>
        <v>72952.12</v>
      </c>
      <c r="AB18" s="23">
        <f t="shared" si="1"/>
        <v>14554.880000000001</v>
      </c>
      <c r="AC18" s="45">
        <f>IF(SUM(Z18:AB18)=0,0,SUM(Z18:AB18)/'Resid Cust Fcst '!AC19)</f>
        <v>3241</v>
      </c>
    </row>
    <row r="19" spans="1:29" s="58" customFormat="1">
      <c r="A19" s="134" t="s">
        <v>13</v>
      </c>
      <c r="B19" s="137">
        <f>'Resid Cust Fcst '!$W20*'Resid TSM UC Adj'!J19</f>
        <v>0</v>
      </c>
      <c r="C19" s="23">
        <f>'Resid Cust Fcst '!$W20*'Resid TSM UC Adj'!K19</f>
        <v>0</v>
      </c>
      <c r="D19" s="23">
        <f>'Resid Cust Fcst '!$W20*'Resid TSM UC Adj'!L19</f>
        <v>0</v>
      </c>
      <c r="E19" s="45">
        <f>IF(SUM(B19:D19)=0,0,SUM(B19:D19)/'Resid Cust Fcst '!W20)</f>
        <v>0</v>
      </c>
      <c r="F19" s="137">
        <f>'Resid Cust Fcst '!$X20*'Resid TSM UC Adj'!J19</f>
        <v>0</v>
      </c>
      <c r="G19" s="23">
        <f>'Resid Cust Fcst '!$X20*'Resid TSM UC Adj'!K19</f>
        <v>0</v>
      </c>
      <c r="H19" s="23">
        <f>'Resid Cust Fcst '!$X20*'Resid TSM UC Adj'!L19</f>
        <v>0</v>
      </c>
      <c r="I19" s="45">
        <f>IF(SUM(F19:H19)=0,0,SUM(F19:H19)/'Resid Cust Fcst '!X20)</f>
        <v>0</v>
      </c>
      <c r="J19" s="137">
        <f>'Resid Cust Fcst '!$Y20*'Resid TSM UC Adj'!J19</f>
        <v>0</v>
      </c>
      <c r="K19" s="23">
        <f>'Resid Cust Fcst '!$Y20*'Resid TSM UC Adj'!K19</f>
        <v>2867.8199999999997</v>
      </c>
      <c r="L19" s="23">
        <f>'Resid Cust Fcst '!$Y20*'Resid TSM UC Adj'!L19</f>
        <v>373.18</v>
      </c>
      <c r="M19" s="45">
        <f>IF(SUM(J19:L19)=0,0,SUM(J19:L19)/'Resid Cust Fcst '!Y20)</f>
        <v>3240.9999999999995</v>
      </c>
      <c r="N19" s="137">
        <f>'Resid Cust Fcst '!$Z20*'Resid TSM UC Adj'!N19</f>
        <v>0</v>
      </c>
      <c r="O19" s="23">
        <f>'Resid Cust Fcst '!$Z20*'Resid TSM UC Adj'!O19</f>
        <v>31546.020000000008</v>
      </c>
      <c r="P19" s="23">
        <f>'Resid Cust Fcst '!$Z20*'Resid TSM UC Adj'!P19</f>
        <v>4104.9800000000005</v>
      </c>
      <c r="Q19" s="45">
        <f>IF(SUM(N19:P19)=0,0,SUM(N19:P19)/'Resid Cust Fcst '!Z20)</f>
        <v>3241.0000000000005</v>
      </c>
      <c r="R19" s="137">
        <f t="shared" si="2"/>
        <v>0</v>
      </c>
      <c r="S19" s="23">
        <f t="shared" si="0"/>
        <v>34413.840000000011</v>
      </c>
      <c r="T19" s="23">
        <f t="shared" si="0"/>
        <v>4478.1600000000008</v>
      </c>
      <c r="U19" s="45">
        <f>IF(SUM(R19:T19)=0,0,SUM(R19:T19)/'Resid Cust Fcst '!AA20)</f>
        <v>3241.0000000000014</v>
      </c>
      <c r="V19" s="137">
        <f>'Resid Cust Fcst '!$AB20*'Resid TSM UC Adj'!R19</f>
        <v>0</v>
      </c>
      <c r="W19" s="23">
        <f>'Resid Cust Fcst '!$AB20*'Resid TSM UC Adj'!S19</f>
        <v>17823.68</v>
      </c>
      <c r="X19" s="23">
        <f>'Resid Cust Fcst '!$AB20*'Resid TSM UC Adj'!T19</f>
        <v>8104.32</v>
      </c>
      <c r="Y19" s="45">
        <f>IF(SUM(V19:X19)=0,0,SUM(V19:X19)/'Resid Cust Fcst '!AB20)</f>
        <v>3241</v>
      </c>
      <c r="Z19" s="137">
        <f t="shared" si="3"/>
        <v>0</v>
      </c>
      <c r="AA19" s="23">
        <f t="shared" si="1"/>
        <v>52237.520000000011</v>
      </c>
      <c r="AB19" s="23">
        <f t="shared" si="1"/>
        <v>12582.48</v>
      </c>
      <c r="AC19" s="45">
        <f>IF(SUM(Z19:AB19)=0,0,SUM(Z19:AB19)/'Resid Cust Fcst '!AC20)</f>
        <v>3241.0000000000009</v>
      </c>
    </row>
    <row r="20" spans="1:29">
      <c r="A20" s="153" t="s">
        <v>122</v>
      </c>
      <c r="B20" s="137">
        <f>'Resid Cust Fcst '!$W21*'Resid TSM UC Adj'!J20</f>
        <v>0</v>
      </c>
      <c r="C20" s="23">
        <f>'Resid Cust Fcst '!$W21*'Resid TSM UC Adj'!K20</f>
        <v>2867.8200000000033</v>
      </c>
      <c r="D20" s="23">
        <f>'Resid Cust Fcst '!$W21*'Resid TSM UC Adj'!L20</f>
        <v>373.18</v>
      </c>
      <c r="E20" s="45">
        <f>IF(SUM(B20:D20)=0,0,SUM(B20:D20)/'Resid Cust Fcst '!W21)</f>
        <v>3241.0000000000032</v>
      </c>
      <c r="F20" s="137">
        <f>'Resid Cust Fcst '!$X21*'Resid TSM UC Adj'!J20</f>
        <v>0</v>
      </c>
      <c r="G20" s="23">
        <f>'Resid Cust Fcst '!$X21*'Resid TSM UC Adj'!K20</f>
        <v>0</v>
      </c>
      <c r="H20" s="23">
        <f>'Resid Cust Fcst '!$X21*'Resid TSM UC Adj'!L20</f>
        <v>0</v>
      </c>
      <c r="I20" s="45">
        <f>IF(SUM(F20:H20)=0,0,SUM(F20:H20)/'Resid Cust Fcst '!X21)</f>
        <v>0</v>
      </c>
      <c r="J20" s="137">
        <f>'Resid Cust Fcst '!$Y21*'Resid TSM UC Adj'!J20</f>
        <v>0</v>
      </c>
      <c r="K20" s="23">
        <f>'Resid Cust Fcst '!$Y21*'Resid TSM UC Adj'!K20</f>
        <v>0</v>
      </c>
      <c r="L20" s="23">
        <f>'Resid Cust Fcst '!$Y21*'Resid TSM UC Adj'!L20</f>
        <v>0</v>
      </c>
      <c r="M20" s="45">
        <f>IF(SUM(J20:L20)=0,0,SUM(J20:L20)/'Resid Cust Fcst '!Y21)</f>
        <v>0</v>
      </c>
      <c r="N20" s="137">
        <f>'Resid Cust Fcst '!$Z21*'Resid TSM UC Adj'!N20</f>
        <v>0</v>
      </c>
      <c r="O20" s="23">
        <f>'Resid Cust Fcst '!$Z21*'Resid TSM UC Adj'!O20</f>
        <v>14339.100000000002</v>
      </c>
      <c r="P20" s="23">
        <f>'Resid Cust Fcst '!$Z21*'Resid TSM UC Adj'!P20</f>
        <v>1865.9</v>
      </c>
      <c r="Q20" s="45">
        <f>IF(SUM(N20:P20)=0,0,SUM(N20:P20)/'Resid Cust Fcst '!Z21)</f>
        <v>3241.0000000000005</v>
      </c>
      <c r="R20" s="137">
        <f t="shared" si="2"/>
        <v>0</v>
      </c>
      <c r="S20" s="23">
        <f t="shared" si="0"/>
        <v>17206.920000000006</v>
      </c>
      <c r="T20" s="23">
        <f t="shared" si="0"/>
        <v>2239.08</v>
      </c>
      <c r="U20" s="45">
        <f>IF(SUM(R20:T20)=0,0,SUM(R20:T20)/'Resid Cust Fcst '!AA21)</f>
        <v>3241.0000000000014</v>
      </c>
      <c r="V20" s="137">
        <f>'Resid Cust Fcst '!$AB21*'Resid TSM UC Adj'!R20</f>
        <v>0</v>
      </c>
      <c r="W20" s="23">
        <f>'Resid Cust Fcst '!$AB21*'Resid TSM UC Adj'!S20</f>
        <v>4455.92</v>
      </c>
      <c r="X20" s="23">
        <f>'Resid Cust Fcst '!$AB21*'Resid TSM UC Adj'!T20</f>
        <v>2026.08</v>
      </c>
      <c r="Y20" s="45">
        <f>IF(SUM(V20:X20)=0,0,SUM(V20:X20)/'Resid Cust Fcst '!AB21)</f>
        <v>3241</v>
      </c>
      <c r="Z20" s="137">
        <f t="shared" si="3"/>
        <v>0</v>
      </c>
      <c r="AA20" s="23">
        <f t="shared" si="1"/>
        <v>21662.840000000004</v>
      </c>
      <c r="AB20" s="23">
        <f t="shared" si="1"/>
        <v>4265.16</v>
      </c>
      <c r="AC20" s="45">
        <f>IF(SUM(Z20:AB20)=0,0,SUM(Z20:AB20)/'Resid Cust Fcst '!AC21)</f>
        <v>3241.0000000000005</v>
      </c>
    </row>
    <row r="21" spans="1:29">
      <c r="A21" s="153" t="s">
        <v>123</v>
      </c>
      <c r="B21" s="137">
        <f>'Resid Cust Fcst '!$W22*'Resid TSM UC Adj'!J21</f>
        <v>0</v>
      </c>
      <c r="C21" s="23">
        <f>'Resid Cust Fcst '!$W22*'Resid TSM UC Adj'!K21</f>
        <v>0</v>
      </c>
      <c r="D21" s="23">
        <f>'Resid Cust Fcst '!$W22*'Resid TSM UC Adj'!L21</f>
        <v>0</v>
      </c>
      <c r="E21" s="45">
        <f>IF(SUM(B21:D21)=0,0,SUM(B21:D21)/'Resid Cust Fcst '!W22)</f>
        <v>0</v>
      </c>
      <c r="F21" s="137">
        <f>'Resid Cust Fcst '!$X22*'Resid TSM UC Adj'!J21</f>
        <v>0</v>
      </c>
      <c r="G21" s="23">
        <f>'Resid Cust Fcst '!$X22*'Resid TSM UC Adj'!K21</f>
        <v>0</v>
      </c>
      <c r="H21" s="23">
        <f>'Resid Cust Fcst '!$X22*'Resid TSM UC Adj'!L21</f>
        <v>0</v>
      </c>
      <c r="I21" s="45">
        <f>IF(SUM(F21:H21)=0,0,SUM(F21:H21)/'Resid Cust Fcst '!X22)</f>
        <v>0</v>
      </c>
      <c r="J21" s="137">
        <f>'Resid Cust Fcst '!$Y22*'Resid TSM UC Adj'!J21</f>
        <v>0</v>
      </c>
      <c r="K21" s="23">
        <f>'Resid Cust Fcst '!$Y22*'Resid TSM UC Adj'!K21</f>
        <v>0</v>
      </c>
      <c r="L21" s="23">
        <f>'Resid Cust Fcst '!$Y22*'Resid TSM UC Adj'!L21</f>
        <v>0</v>
      </c>
      <c r="M21" s="45">
        <f>IF(SUM(J21:L21)=0,0,SUM(J21:L21)/'Resid Cust Fcst '!Y22)</f>
        <v>0</v>
      </c>
      <c r="N21" s="137">
        <f>'Resid Cust Fcst '!$Z22*'Resid TSM UC Adj'!N21</f>
        <v>0</v>
      </c>
      <c r="O21" s="23">
        <f>'Resid Cust Fcst '!$Z22*'Resid TSM UC Adj'!O21</f>
        <v>0</v>
      </c>
      <c r="P21" s="23">
        <f>'Resid Cust Fcst '!$Z22*'Resid TSM UC Adj'!P21</f>
        <v>0</v>
      </c>
      <c r="Q21" s="45">
        <f>IF(SUM(N21:P21)=0,0,SUM(N21:P21)/'Resid Cust Fcst '!Z22)</f>
        <v>0</v>
      </c>
      <c r="R21" s="137">
        <f t="shared" si="2"/>
        <v>0</v>
      </c>
      <c r="S21" s="23">
        <f t="shared" si="0"/>
        <v>0</v>
      </c>
      <c r="T21" s="23">
        <f t="shared" si="0"/>
        <v>0</v>
      </c>
      <c r="U21" s="45">
        <f>IF(SUM(R21:T21)=0,0,SUM(R21:T21)/'Resid Cust Fcst '!AA22)</f>
        <v>0</v>
      </c>
      <c r="V21" s="137">
        <f>'Resid Cust Fcst '!$AB22*'Resid TSM UC Adj'!R21</f>
        <v>0</v>
      </c>
      <c r="W21" s="23">
        <f>'Resid Cust Fcst '!$AB22*'Resid TSM UC Adj'!S21</f>
        <v>6683.88</v>
      </c>
      <c r="X21" s="23">
        <f>'Resid Cust Fcst '!$AB22*'Resid TSM UC Adj'!T21</f>
        <v>3039.12</v>
      </c>
      <c r="Y21" s="45">
        <f>IF(SUM(V21:X21)=0,0,SUM(V21:X21)/'Resid Cust Fcst '!AB22)</f>
        <v>3241</v>
      </c>
      <c r="Z21" s="137">
        <f t="shared" si="3"/>
        <v>0</v>
      </c>
      <c r="AA21" s="23">
        <f t="shared" si="1"/>
        <v>6683.88</v>
      </c>
      <c r="AB21" s="23">
        <f t="shared" si="1"/>
        <v>3039.12</v>
      </c>
      <c r="AC21" s="45">
        <f>IF(SUM(Z21:AB21)=0,0,SUM(Z21:AB21)/'Resid Cust Fcst '!AC22)</f>
        <v>3241</v>
      </c>
    </row>
    <row r="22" spans="1:29">
      <c r="A22" s="153" t="s">
        <v>14</v>
      </c>
      <c r="B22" s="137">
        <f>'Resid Cust Fcst '!$W23*'Resid TSM UC Adj'!J22</f>
        <v>0</v>
      </c>
      <c r="C22" s="23">
        <f>'Resid Cust Fcst '!$W23*'Resid TSM UC Adj'!K22</f>
        <v>2867.8199999999997</v>
      </c>
      <c r="D22" s="23">
        <f>'Resid Cust Fcst '!$W23*'Resid TSM UC Adj'!L22</f>
        <v>373.18</v>
      </c>
      <c r="E22" s="45">
        <f>IF(SUM(B22:D22)=0,0,SUM(B22:D22)/'Resid Cust Fcst '!W23)</f>
        <v>3240.9999999999995</v>
      </c>
      <c r="F22" s="137">
        <f>'Resid Cust Fcst '!$X23*'Resid TSM UC Adj'!J22</f>
        <v>0</v>
      </c>
      <c r="G22" s="23">
        <f>'Resid Cust Fcst '!$X23*'Resid TSM UC Adj'!K22</f>
        <v>0</v>
      </c>
      <c r="H22" s="23">
        <f>'Resid Cust Fcst '!$X23*'Resid TSM UC Adj'!L22</f>
        <v>0</v>
      </c>
      <c r="I22" s="45">
        <f>IF(SUM(F22:H22)=0,0,SUM(F22:H22)/'Resid Cust Fcst '!X23)</f>
        <v>0</v>
      </c>
      <c r="J22" s="137">
        <f>'Resid Cust Fcst '!$Y23*'Resid TSM UC Adj'!J22</f>
        <v>0</v>
      </c>
      <c r="K22" s="23">
        <f>'Resid Cust Fcst '!$Y23*'Resid TSM UC Adj'!K22</f>
        <v>0</v>
      </c>
      <c r="L22" s="23">
        <f>'Resid Cust Fcst '!$Y23*'Resid TSM UC Adj'!L22</f>
        <v>0</v>
      </c>
      <c r="M22" s="45">
        <f>IF(SUM(J22:L22)=0,0,SUM(J22:L22)/'Resid Cust Fcst '!Y23)</f>
        <v>0</v>
      </c>
      <c r="N22" s="137">
        <f>'Resid Cust Fcst '!$Z23*'Resid TSM UC Adj'!N22</f>
        <v>0</v>
      </c>
      <c r="O22" s="23">
        <f>'Resid Cust Fcst '!$Z23*'Resid TSM UC Adj'!O22</f>
        <v>8603.4599999999937</v>
      </c>
      <c r="P22" s="23">
        <f>'Resid Cust Fcst '!$Z23*'Resid TSM UC Adj'!P22</f>
        <v>1119.54</v>
      </c>
      <c r="Q22" s="45">
        <f>IF(SUM(N22:P22)=0,0,SUM(N22:P22)/'Resid Cust Fcst '!Z23)</f>
        <v>3240.9999999999977</v>
      </c>
      <c r="R22" s="137">
        <f t="shared" si="2"/>
        <v>0</v>
      </c>
      <c r="S22" s="23">
        <f t="shared" si="0"/>
        <v>11471.279999999993</v>
      </c>
      <c r="T22" s="23">
        <f t="shared" si="0"/>
        <v>1492.72</v>
      </c>
      <c r="U22" s="45">
        <f>IF(SUM(R22:T22)=0,0,SUM(R22:T22)/'Resid Cust Fcst '!AA23)</f>
        <v>3240.9999999999982</v>
      </c>
      <c r="V22" s="137">
        <f>'Resid Cust Fcst '!$AB23*'Resid TSM UC Adj'!R22</f>
        <v>0</v>
      </c>
      <c r="W22" s="23">
        <f>'Resid Cust Fcst '!$AB23*'Resid TSM UC Adj'!S22</f>
        <v>4455.92</v>
      </c>
      <c r="X22" s="23">
        <f>'Resid Cust Fcst '!$AB23*'Resid TSM UC Adj'!T22</f>
        <v>2026.08</v>
      </c>
      <c r="Y22" s="45">
        <f>IF(SUM(V22:X22)=0,0,SUM(V22:X22)/'Resid Cust Fcst '!AB23)</f>
        <v>3241</v>
      </c>
      <c r="Z22" s="137">
        <f t="shared" si="3"/>
        <v>0</v>
      </c>
      <c r="AA22" s="23">
        <f t="shared" si="1"/>
        <v>15927.199999999993</v>
      </c>
      <c r="AB22" s="23">
        <f t="shared" si="1"/>
        <v>3518.8</v>
      </c>
      <c r="AC22" s="45">
        <f>IF(SUM(Z22:AB22)=0,0,SUM(Z22:AB22)/'Resid Cust Fcst '!AC23)</f>
        <v>3240.9999999999986</v>
      </c>
    </row>
    <row r="23" spans="1:29">
      <c r="A23" s="153" t="s">
        <v>15</v>
      </c>
      <c r="B23" s="137">
        <f>'Resid Cust Fcst '!$W24*'Resid TSM UC Adj'!J23</f>
        <v>0</v>
      </c>
      <c r="C23" s="23">
        <f>'Resid Cust Fcst '!$W24*'Resid TSM UC Adj'!K23</f>
        <v>0</v>
      </c>
      <c r="D23" s="23">
        <f>'Resid Cust Fcst '!$W24*'Resid TSM UC Adj'!L23</f>
        <v>0</v>
      </c>
      <c r="E23" s="45">
        <f>IF(SUM(B23:D23)=0,0,SUM(B23:D23)/'Resid Cust Fcst '!W24)</f>
        <v>0</v>
      </c>
      <c r="F23" s="137">
        <f>'Resid Cust Fcst '!$X24*'Resid TSM UC Adj'!J23</f>
        <v>0</v>
      </c>
      <c r="G23" s="23">
        <f>'Resid Cust Fcst '!$X24*'Resid TSM UC Adj'!K23</f>
        <v>0</v>
      </c>
      <c r="H23" s="23">
        <f>'Resid Cust Fcst '!$X24*'Resid TSM UC Adj'!L23</f>
        <v>0</v>
      </c>
      <c r="I23" s="45">
        <f>IF(SUM(F23:H23)=0,0,SUM(F23:H23)/'Resid Cust Fcst '!X24)</f>
        <v>0</v>
      </c>
      <c r="J23" s="137">
        <f>'Resid Cust Fcst '!$Y24*'Resid TSM UC Adj'!J23</f>
        <v>0</v>
      </c>
      <c r="K23" s="23">
        <f>'Resid Cust Fcst '!$Y24*'Resid TSM UC Adj'!K23</f>
        <v>0</v>
      </c>
      <c r="L23" s="23">
        <f>'Resid Cust Fcst '!$Y24*'Resid TSM UC Adj'!L23</f>
        <v>0</v>
      </c>
      <c r="M23" s="45">
        <f>IF(SUM(J23:L23)=0,0,SUM(J23:L23)/'Resid Cust Fcst '!Y24)</f>
        <v>0</v>
      </c>
      <c r="N23" s="137">
        <f>'Resid Cust Fcst '!$Z24*'Resid TSM UC Adj'!N23</f>
        <v>0</v>
      </c>
      <c r="O23" s="23">
        <f>'Resid Cust Fcst '!$Z24*'Resid TSM UC Adj'!O23</f>
        <v>2867.8199999999979</v>
      </c>
      <c r="P23" s="23">
        <f>'Resid Cust Fcst '!$Z24*'Resid TSM UC Adj'!P23</f>
        <v>373.18</v>
      </c>
      <c r="Q23" s="45">
        <f>IF(SUM(N23:P23)=0,0,SUM(N23:P23)/'Resid Cust Fcst '!Z24)</f>
        <v>3240.9999999999977</v>
      </c>
      <c r="R23" s="137">
        <f t="shared" si="2"/>
        <v>0</v>
      </c>
      <c r="S23" s="23">
        <f t="shared" ref="S23:S37" si="4">C23+G23+K23+O23</f>
        <v>2867.8199999999979</v>
      </c>
      <c r="T23" s="23">
        <f t="shared" ref="T23:T37" si="5">D23+H23+L23+P23</f>
        <v>373.18</v>
      </c>
      <c r="U23" s="45">
        <f>IF(SUM(R23:T23)=0,0,SUM(R23:T23)/'Resid Cust Fcst '!AA24)</f>
        <v>3240.9999999999977</v>
      </c>
      <c r="V23" s="137">
        <f>'Resid Cust Fcst '!$AB24*'Resid TSM UC Adj'!R23</f>
        <v>0</v>
      </c>
      <c r="W23" s="23">
        <f>'Resid Cust Fcst '!$AB24*'Resid TSM UC Adj'!S23</f>
        <v>4455.92</v>
      </c>
      <c r="X23" s="23">
        <f>'Resid Cust Fcst '!$AB24*'Resid TSM UC Adj'!T23</f>
        <v>2026.08</v>
      </c>
      <c r="Y23" s="45">
        <f>IF(SUM(V23:X23)=0,0,SUM(V23:X23)/'Resid Cust Fcst '!AB24)</f>
        <v>3241</v>
      </c>
      <c r="Z23" s="137">
        <f t="shared" si="3"/>
        <v>0</v>
      </c>
      <c r="AA23" s="23">
        <f t="shared" ref="AA23:AA37" si="6">S23+W23</f>
        <v>7323.739999999998</v>
      </c>
      <c r="AB23" s="23">
        <f t="shared" ref="AB23:AB37" si="7">T23+X23</f>
        <v>2399.2599999999998</v>
      </c>
      <c r="AC23" s="45">
        <f>IF(SUM(Z23:AB23)=0,0,SUM(Z23:AB23)/'Resid Cust Fcst '!AC24)</f>
        <v>3240.9999999999995</v>
      </c>
    </row>
    <row r="24" spans="1:29">
      <c r="A24" s="153" t="s">
        <v>16</v>
      </c>
      <c r="B24" s="137">
        <f>'Resid Cust Fcst '!$W25*'Resid TSM UC Adj'!J24</f>
        <v>0</v>
      </c>
      <c r="C24" s="23">
        <f>'Resid Cust Fcst '!$W25*'Resid TSM UC Adj'!K24</f>
        <v>0</v>
      </c>
      <c r="D24" s="23">
        <f>'Resid Cust Fcst '!$W25*'Resid TSM UC Adj'!L24</f>
        <v>0</v>
      </c>
      <c r="E24" s="45">
        <f>IF(SUM(B24:D24)=0,0,SUM(B24:D24)/'Resid Cust Fcst '!W25)</f>
        <v>0</v>
      </c>
      <c r="F24" s="137">
        <f>'Resid Cust Fcst '!$X25*'Resid TSM UC Adj'!J24</f>
        <v>0</v>
      </c>
      <c r="G24" s="23">
        <f>'Resid Cust Fcst '!$X25*'Resid TSM UC Adj'!K24</f>
        <v>0</v>
      </c>
      <c r="H24" s="23">
        <f>'Resid Cust Fcst '!$X25*'Resid TSM UC Adj'!L24</f>
        <v>0</v>
      </c>
      <c r="I24" s="45">
        <f>IF(SUM(F24:H24)=0,0,SUM(F24:H24)/'Resid Cust Fcst '!X25)</f>
        <v>0</v>
      </c>
      <c r="J24" s="137">
        <f>'Resid Cust Fcst '!$Y25*'Resid TSM UC Adj'!J24</f>
        <v>0</v>
      </c>
      <c r="K24" s="23">
        <f>'Resid Cust Fcst '!$Y25*'Resid TSM UC Adj'!K24</f>
        <v>0</v>
      </c>
      <c r="L24" s="23">
        <f>'Resid Cust Fcst '!$Y25*'Resid TSM UC Adj'!L24</f>
        <v>0</v>
      </c>
      <c r="M24" s="45">
        <f>IF(SUM(J24:L24)=0,0,SUM(J24:L24)/'Resid Cust Fcst '!Y25)</f>
        <v>0</v>
      </c>
      <c r="N24" s="137">
        <f>'Resid Cust Fcst '!$Z25*'Resid TSM UC Adj'!N24</f>
        <v>0</v>
      </c>
      <c r="O24" s="23">
        <f>'Resid Cust Fcst '!$Z25*'Resid TSM UC Adj'!O24</f>
        <v>0</v>
      </c>
      <c r="P24" s="23">
        <f>'Resid Cust Fcst '!$Z25*'Resid TSM UC Adj'!P24</f>
        <v>0</v>
      </c>
      <c r="Q24" s="45">
        <f>IF(SUM(N24:P24)=0,0,SUM(N24:P24)/'Resid Cust Fcst '!Z25)</f>
        <v>0</v>
      </c>
      <c r="R24" s="137">
        <f t="shared" si="2"/>
        <v>0</v>
      </c>
      <c r="S24" s="23">
        <f t="shared" si="4"/>
        <v>0</v>
      </c>
      <c r="T24" s="23">
        <f t="shared" si="5"/>
        <v>0</v>
      </c>
      <c r="U24" s="45">
        <f>IF(SUM(R24:T24)=0,0,SUM(R24:T24)/'Resid Cust Fcst '!AA25)</f>
        <v>0</v>
      </c>
      <c r="V24" s="137">
        <f>'Resid Cust Fcst '!$AB25*'Resid TSM UC Adj'!R24</f>
        <v>0</v>
      </c>
      <c r="W24" s="23">
        <f>'Resid Cust Fcst '!$AB25*'Resid TSM UC Adj'!S24</f>
        <v>2227.96</v>
      </c>
      <c r="X24" s="23">
        <f>'Resid Cust Fcst '!$AB25*'Resid TSM UC Adj'!T24</f>
        <v>1013.04</v>
      </c>
      <c r="Y24" s="45">
        <f>IF(SUM(V24:X24)=0,0,SUM(V24:X24)/'Resid Cust Fcst '!AB25)</f>
        <v>3241</v>
      </c>
      <c r="Z24" s="137">
        <f t="shared" si="3"/>
        <v>0</v>
      </c>
      <c r="AA24" s="23">
        <f t="shared" si="6"/>
        <v>2227.96</v>
      </c>
      <c r="AB24" s="23">
        <f t="shared" si="7"/>
        <v>1013.04</v>
      </c>
      <c r="AC24" s="45">
        <f>IF(SUM(Z24:AB24)=0,0,SUM(Z24:AB24)/'Resid Cust Fcst '!AC25)</f>
        <v>3241</v>
      </c>
    </row>
    <row r="25" spans="1:29">
      <c r="A25" s="153" t="s">
        <v>17</v>
      </c>
      <c r="B25" s="137">
        <f>'Resid Cust Fcst '!$W26*'Resid TSM UC Adj'!J25</f>
        <v>0</v>
      </c>
      <c r="C25" s="23">
        <f>'Resid Cust Fcst '!$W26*'Resid TSM UC Adj'!K25</f>
        <v>2867.820000000007</v>
      </c>
      <c r="D25" s="23">
        <f>'Resid Cust Fcst '!$W26*'Resid TSM UC Adj'!L25</f>
        <v>373.18</v>
      </c>
      <c r="E25" s="45">
        <f>IF(SUM(B25:D25)=0,0,SUM(B25:D25)/'Resid Cust Fcst '!W26)</f>
        <v>3241.0000000000068</v>
      </c>
      <c r="F25" s="137">
        <f>'Resid Cust Fcst '!$X26*'Resid TSM UC Adj'!J25</f>
        <v>0</v>
      </c>
      <c r="G25" s="23">
        <f>'Resid Cust Fcst '!$X26*'Resid TSM UC Adj'!K25</f>
        <v>0</v>
      </c>
      <c r="H25" s="23">
        <f>'Resid Cust Fcst '!$X26*'Resid TSM UC Adj'!L25</f>
        <v>0</v>
      </c>
      <c r="I25" s="45">
        <f>IF(SUM(F25:H25)=0,0,SUM(F25:H25)/'Resid Cust Fcst '!X26)</f>
        <v>0</v>
      </c>
      <c r="J25" s="137">
        <f>'Resid Cust Fcst '!$Y26*'Resid TSM UC Adj'!J25</f>
        <v>0</v>
      </c>
      <c r="K25" s="23">
        <f>'Resid Cust Fcst '!$Y26*'Resid TSM UC Adj'!K25</f>
        <v>0</v>
      </c>
      <c r="L25" s="23">
        <f>'Resid Cust Fcst '!$Y26*'Resid TSM UC Adj'!L25</f>
        <v>0</v>
      </c>
      <c r="M25" s="45">
        <f>IF(SUM(J25:L25)=0,0,SUM(J25:L25)/'Resid Cust Fcst '!Y26)</f>
        <v>0</v>
      </c>
      <c r="N25" s="137">
        <f>'Resid Cust Fcst '!$Z26*'Resid TSM UC Adj'!N25</f>
        <v>0</v>
      </c>
      <c r="O25" s="23">
        <f>'Resid Cust Fcst '!$Z26*'Resid TSM UC Adj'!O25</f>
        <v>0</v>
      </c>
      <c r="P25" s="23">
        <f>'Resid Cust Fcst '!$Z26*'Resid TSM UC Adj'!P25</f>
        <v>0</v>
      </c>
      <c r="Q25" s="45">
        <f>IF(SUM(N25:P25)=0,0,SUM(N25:P25)/'Resid Cust Fcst '!Z26)</f>
        <v>0</v>
      </c>
      <c r="R25" s="137">
        <f t="shared" si="2"/>
        <v>0</v>
      </c>
      <c r="S25" s="23">
        <f t="shared" si="4"/>
        <v>2867.820000000007</v>
      </c>
      <c r="T25" s="23">
        <f t="shared" si="5"/>
        <v>373.18</v>
      </c>
      <c r="U25" s="45">
        <f>IF(SUM(R25:T25)=0,0,SUM(R25:T25)/'Resid Cust Fcst '!AA26)</f>
        <v>3241.0000000000068</v>
      </c>
      <c r="V25" s="137">
        <f>'Resid Cust Fcst '!$AB26*'Resid TSM UC Adj'!R25</f>
        <v>0</v>
      </c>
      <c r="W25" s="23">
        <f>'Resid Cust Fcst '!$AB26*'Resid TSM UC Adj'!S25</f>
        <v>8911.84</v>
      </c>
      <c r="X25" s="23">
        <f>'Resid Cust Fcst '!$AB26*'Resid TSM UC Adj'!T25</f>
        <v>4052.16</v>
      </c>
      <c r="Y25" s="45">
        <f>IF(SUM(V25:X25)=0,0,SUM(V25:X25)/'Resid Cust Fcst '!AB26)</f>
        <v>3241</v>
      </c>
      <c r="Z25" s="137">
        <f t="shared" si="3"/>
        <v>0</v>
      </c>
      <c r="AA25" s="23">
        <f t="shared" si="6"/>
        <v>11779.660000000007</v>
      </c>
      <c r="AB25" s="23">
        <f t="shared" si="7"/>
        <v>4425.34</v>
      </c>
      <c r="AC25" s="45">
        <f>IF(SUM(Z25:AB25)=0,0,SUM(Z25:AB25)/'Resid Cust Fcst '!AC26)</f>
        <v>3241.0000000000014</v>
      </c>
    </row>
    <row r="26" spans="1:29">
      <c r="A26" s="153" t="s">
        <v>18</v>
      </c>
      <c r="B26" s="137">
        <f>'Resid Cust Fcst '!$W27*'Resid TSM UC Adj'!J26</f>
        <v>0</v>
      </c>
      <c r="C26" s="23">
        <f>'Resid Cust Fcst '!$W27*'Resid TSM UC Adj'!K26</f>
        <v>0</v>
      </c>
      <c r="D26" s="23">
        <f>'Resid Cust Fcst '!$W27*'Resid TSM UC Adj'!L26</f>
        <v>0</v>
      </c>
      <c r="E26" s="45">
        <f>IF(SUM(B26:D26)=0,0,SUM(B26:D26)/'Resid Cust Fcst '!W27)</f>
        <v>0</v>
      </c>
      <c r="F26" s="137">
        <f>'Resid Cust Fcst '!$X27*'Resid TSM UC Adj'!J26</f>
        <v>0</v>
      </c>
      <c r="G26" s="23">
        <f>'Resid Cust Fcst '!$X27*'Resid TSM UC Adj'!K26</f>
        <v>0</v>
      </c>
      <c r="H26" s="23">
        <f>'Resid Cust Fcst '!$X27*'Resid TSM UC Adj'!L26</f>
        <v>0</v>
      </c>
      <c r="I26" s="45">
        <f>IF(SUM(F26:H26)=0,0,SUM(F26:H26)/'Resid Cust Fcst '!X27)</f>
        <v>0</v>
      </c>
      <c r="J26" s="137">
        <f>'Resid Cust Fcst '!$Y27*'Resid TSM UC Adj'!J26</f>
        <v>0</v>
      </c>
      <c r="K26" s="23">
        <f>'Resid Cust Fcst '!$Y27*'Resid TSM UC Adj'!K26</f>
        <v>0</v>
      </c>
      <c r="L26" s="23">
        <f>'Resid Cust Fcst '!$Y27*'Resid TSM UC Adj'!L26</f>
        <v>0</v>
      </c>
      <c r="M26" s="45">
        <f>IF(SUM(J26:L26)=0,0,SUM(J26:L26)/'Resid Cust Fcst '!Y27)</f>
        <v>0</v>
      </c>
      <c r="N26" s="137">
        <f>'Resid Cust Fcst '!$Z27*'Resid TSM UC Adj'!N26</f>
        <v>0</v>
      </c>
      <c r="O26" s="23">
        <f>'Resid Cust Fcst '!$Z27*'Resid TSM UC Adj'!O26</f>
        <v>0</v>
      </c>
      <c r="P26" s="23">
        <f>'Resid Cust Fcst '!$Z27*'Resid TSM UC Adj'!P26</f>
        <v>0</v>
      </c>
      <c r="Q26" s="45">
        <f>IF(SUM(N26:P26)=0,0,SUM(N26:P26)/'Resid Cust Fcst '!Z27)</f>
        <v>0</v>
      </c>
      <c r="R26" s="137">
        <f t="shared" si="2"/>
        <v>0</v>
      </c>
      <c r="S26" s="23">
        <f t="shared" si="4"/>
        <v>0</v>
      </c>
      <c r="T26" s="23">
        <f t="shared" si="5"/>
        <v>0</v>
      </c>
      <c r="U26" s="45">
        <f>IF(SUM(R26:T26)=0,0,SUM(R26:T26)/'Resid Cust Fcst '!AA27)</f>
        <v>0</v>
      </c>
      <c r="V26" s="137">
        <f>'Resid Cust Fcst '!$AB27*'Resid TSM UC Adj'!R26</f>
        <v>0</v>
      </c>
      <c r="W26" s="23">
        <f>'Resid Cust Fcst '!$AB27*'Resid TSM UC Adj'!S26</f>
        <v>2227.96</v>
      </c>
      <c r="X26" s="23">
        <f>'Resid Cust Fcst '!$AB27*'Resid TSM UC Adj'!T26</f>
        <v>1013.04</v>
      </c>
      <c r="Y26" s="45">
        <f>IF(SUM(V26:X26)=0,0,SUM(V26:X26)/'Resid Cust Fcst '!AB27)</f>
        <v>3241</v>
      </c>
      <c r="Z26" s="137">
        <f t="shared" si="3"/>
        <v>0</v>
      </c>
      <c r="AA26" s="23">
        <f t="shared" si="6"/>
        <v>2227.96</v>
      </c>
      <c r="AB26" s="23">
        <f t="shared" si="7"/>
        <v>1013.04</v>
      </c>
      <c r="AC26" s="45">
        <f>IF(SUM(Z26:AB26)=0,0,SUM(Z26:AB26)/'Resid Cust Fcst '!AC27)</f>
        <v>3241</v>
      </c>
    </row>
    <row r="27" spans="1:29">
      <c r="A27" s="153" t="s">
        <v>19</v>
      </c>
      <c r="B27" s="137">
        <f>'Resid Cust Fcst '!$W28*'Resid TSM UC Adj'!J27</f>
        <v>0</v>
      </c>
      <c r="C27" s="23">
        <f>'Resid Cust Fcst '!$W28*'Resid TSM UC Adj'!K27</f>
        <v>0</v>
      </c>
      <c r="D27" s="23">
        <f>'Resid Cust Fcst '!$W28*'Resid TSM UC Adj'!L27</f>
        <v>0</v>
      </c>
      <c r="E27" s="45">
        <f>IF(SUM(B27:D27)=0,0,SUM(B27:D27)/'Resid Cust Fcst '!W28)</f>
        <v>0</v>
      </c>
      <c r="F27" s="137">
        <f>'Resid Cust Fcst '!$X28*'Resid TSM UC Adj'!J27</f>
        <v>0</v>
      </c>
      <c r="G27" s="23">
        <f>'Resid Cust Fcst '!$X28*'Resid TSM UC Adj'!K27</f>
        <v>0</v>
      </c>
      <c r="H27" s="23">
        <f>'Resid Cust Fcst '!$X28*'Resid TSM UC Adj'!L27</f>
        <v>0</v>
      </c>
      <c r="I27" s="45">
        <f>IF(SUM(F27:H27)=0,0,SUM(F27:H27)/'Resid Cust Fcst '!X28)</f>
        <v>0</v>
      </c>
      <c r="J27" s="137">
        <f>'Resid Cust Fcst '!$Y28*'Resid TSM UC Adj'!J27</f>
        <v>0</v>
      </c>
      <c r="K27" s="23">
        <f>'Resid Cust Fcst '!$Y28*'Resid TSM UC Adj'!K27</f>
        <v>0</v>
      </c>
      <c r="L27" s="23">
        <f>'Resid Cust Fcst '!$Y28*'Resid TSM UC Adj'!L27</f>
        <v>0</v>
      </c>
      <c r="M27" s="45">
        <f>IF(SUM(J27:L27)=0,0,SUM(J27:L27)/'Resid Cust Fcst '!Y28)</f>
        <v>0</v>
      </c>
      <c r="N27" s="137">
        <f>'Resid Cust Fcst '!$Z28*'Resid TSM UC Adj'!N27</f>
        <v>0</v>
      </c>
      <c r="O27" s="23">
        <f>'Resid Cust Fcst '!$Z28*'Resid TSM UC Adj'!O27</f>
        <v>0</v>
      </c>
      <c r="P27" s="23">
        <f>'Resid Cust Fcst '!$Z28*'Resid TSM UC Adj'!P27</f>
        <v>0</v>
      </c>
      <c r="Q27" s="45">
        <f>IF(SUM(N27:P27)=0,0,SUM(N27:P27)/'Resid Cust Fcst '!Z28)</f>
        <v>0</v>
      </c>
      <c r="R27" s="137">
        <f t="shared" si="2"/>
        <v>0</v>
      </c>
      <c r="S27" s="23">
        <f t="shared" si="4"/>
        <v>0</v>
      </c>
      <c r="T27" s="23">
        <f t="shared" si="5"/>
        <v>0</v>
      </c>
      <c r="U27" s="45">
        <f>IF(SUM(R27:T27)=0,0,SUM(R27:T27)/'Resid Cust Fcst '!AA28)</f>
        <v>0</v>
      </c>
      <c r="V27" s="137">
        <f>'Resid Cust Fcst '!$AB28*'Resid TSM UC Adj'!R27</f>
        <v>0</v>
      </c>
      <c r="W27" s="23">
        <f>'Resid Cust Fcst '!$AB28*'Resid TSM UC Adj'!S27</f>
        <v>0</v>
      </c>
      <c r="X27" s="23">
        <f>'Resid Cust Fcst '!$AB28*'Resid TSM UC Adj'!T27</f>
        <v>0</v>
      </c>
      <c r="Y27" s="45">
        <f>IF(SUM(V27:X27)=0,0,SUM(V27:X27)/'Resid Cust Fcst '!AB28)</f>
        <v>0</v>
      </c>
      <c r="Z27" s="137">
        <f t="shared" si="3"/>
        <v>0</v>
      </c>
      <c r="AA27" s="23">
        <f t="shared" si="6"/>
        <v>0</v>
      </c>
      <c r="AB27" s="23">
        <f t="shared" si="7"/>
        <v>0</v>
      </c>
      <c r="AC27" s="45">
        <f>IF(SUM(Z27:AB27)=0,0,SUM(Z27:AB27)/'Resid Cust Fcst '!AC28)</f>
        <v>0</v>
      </c>
    </row>
    <row r="28" spans="1:29">
      <c r="A28" s="153" t="s">
        <v>20</v>
      </c>
      <c r="B28" s="137">
        <f>'Resid Cust Fcst '!$W29*'Resid TSM UC Adj'!J28</f>
        <v>0</v>
      </c>
      <c r="C28" s="23">
        <f>'Resid Cust Fcst '!$W29*'Resid TSM UC Adj'!K28</f>
        <v>0</v>
      </c>
      <c r="D28" s="23">
        <f>'Resid Cust Fcst '!$W29*'Resid TSM UC Adj'!L28</f>
        <v>0</v>
      </c>
      <c r="E28" s="45">
        <f>IF(SUM(B28:D28)=0,0,SUM(B28:D28)/'Resid Cust Fcst '!W29)</f>
        <v>0</v>
      </c>
      <c r="F28" s="137">
        <f>'Resid Cust Fcst '!$X29*'Resid TSM UC Adj'!J28</f>
        <v>0</v>
      </c>
      <c r="G28" s="23">
        <f>'Resid Cust Fcst '!$X29*'Resid TSM UC Adj'!K28</f>
        <v>0</v>
      </c>
      <c r="H28" s="23">
        <f>'Resid Cust Fcst '!$X29*'Resid TSM UC Adj'!L28</f>
        <v>0</v>
      </c>
      <c r="I28" s="45">
        <f>IF(SUM(F28:H28)=0,0,SUM(F28:H28)/'Resid Cust Fcst '!X29)</f>
        <v>0</v>
      </c>
      <c r="J28" s="137">
        <f>'Resid Cust Fcst '!$Y29*'Resid TSM UC Adj'!J28</f>
        <v>0</v>
      </c>
      <c r="K28" s="23">
        <f>'Resid Cust Fcst '!$Y29*'Resid TSM UC Adj'!K28</f>
        <v>0</v>
      </c>
      <c r="L28" s="23">
        <f>'Resid Cust Fcst '!$Y29*'Resid TSM UC Adj'!L28</f>
        <v>0</v>
      </c>
      <c r="M28" s="45">
        <f>IF(SUM(J28:L28)=0,0,SUM(J28:L28)/'Resid Cust Fcst '!Y29)</f>
        <v>0</v>
      </c>
      <c r="N28" s="137">
        <f>'Resid Cust Fcst '!$Z29*'Resid TSM UC Adj'!N28</f>
        <v>0</v>
      </c>
      <c r="O28" s="23">
        <f>'Resid Cust Fcst '!$Z29*'Resid TSM UC Adj'!O28</f>
        <v>0</v>
      </c>
      <c r="P28" s="23">
        <f>'Resid Cust Fcst '!$Z29*'Resid TSM UC Adj'!P28</f>
        <v>0</v>
      </c>
      <c r="Q28" s="45">
        <f>IF(SUM(N28:P28)=0,0,SUM(N28:P28)/'Resid Cust Fcst '!Z29)</f>
        <v>0</v>
      </c>
      <c r="R28" s="137">
        <f t="shared" si="2"/>
        <v>0</v>
      </c>
      <c r="S28" s="23">
        <f t="shared" si="4"/>
        <v>0</v>
      </c>
      <c r="T28" s="23">
        <f t="shared" si="5"/>
        <v>0</v>
      </c>
      <c r="U28" s="45">
        <f>IF(SUM(R28:T28)=0,0,SUM(R28:T28)/'Resid Cust Fcst '!AA29)</f>
        <v>0</v>
      </c>
      <c r="V28" s="137">
        <f>'Resid Cust Fcst '!$AB29*'Resid TSM UC Adj'!R28</f>
        <v>0</v>
      </c>
      <c r="W28" s="23">
        <f>'Resid Cust Fcst '!$AB29*'Resid TSM UC Adj'!S28</f>
        <v>0</v>
      </c>
      <c r="X28" s="23">
        <f>'Resid Cust Fcst '!$AB29*'Resid TSM UC Adj'!T28</f>
        <v>0</v>
      </c>
      <c r="Y28" s="45">
        <f>IF(SUM(V28:X28)=0,0,SUM(V28:X28)/'Resid Cust Fcst '!AB29)</f>
        <v>0</v>
      </c>
      <c r="Z28" s="137">
        <f t="shared" si="3"/>
        <v>0</v>
      </c>
      <c r="AA28" s="23">
        <f t="shared" si="6"/>
        <v>0</v>
      </c>
      <c r="AB28" s="23">
        <f t="shared" si="7"/>
        <v>0</v>
      </c>
      <c r="AC28" s="45">
        <f>IF(SUM(Z28:AB28)=0,0,SUM(Z28:AB28)/'Resid Cust Fcst '!AC29)</f>
        <v>0</v>
      </c>
    </row>
    <row r="29" spans="1:29">
      <c r="A29" s="153" t="s">
        <v>21</v>
      </c>
      <c r="B29" s="137">
        <f>'Resid Cust Fcst '!$W30*'Resid TSM UC Adj'!J29</f>
        <v>0</v>
      </c>
      <c r="C29" s="23">
        <f>'Resid Cust Fcst '!$W30*'Resid TSM UC Adj'!K29</f>
        <v>0</v>
      </c>
      <c r="D29" s="23">
        <f>'Resid Cust Fcst '!$W30*'Resid TSM UC Adj'!L29</f>
        <v>0</v>
      </c>
      <c r="E29" s="45">
        <f>IF(SUM(B29:D29)=0,0,SUM(B29:D29)/'Resid Cust Fcst '!W30)</f>
        <v>0</v>
      </c>
      <c r="F29" s="137">
        <f>'Resid Cust Fcst '!$X30*'Resid TSM UC Adj'!J29</f>
        <v>0</v>
      </c>
      <c r="G29" s="23">
        <f>'Resid Cust Fcst '!$X30*'Resid TSM UC Adj'!K29</f>
        <v>0</v>
      </c>
      <c r="H29" s="23">
        <f>'Resid Cust Fcst '!$X30*'Resid TSM UC Adj'!L29</f>
        <v>0</v>
      </c>
      <c r="I29" s="45">
        <f>IF(SUM(F29:H29)=0,0,SUM(F29:H29)/'Resid Cust Fcst '!X30)</f>
        <v>0</v>
      </c>
      <c r="J29" s="137">
        <f>'Resid Cust Fcst '!$Y30*'Resid TSM UC Adj'!J29</f>
        <v>0</v>
      </c>
      <c r="K29" s="23">
        <f>'Resid Cust Fcst '!$Y30*'Resid TSM UC Adj'!K29</f>
        <v>0</v>
      </c>
      <c r="L29" s="23">
        <f>'Resid Cust Fcst '!$Y30*'Resid TSM UC Adj'!L29</f>
        <v>0</v>
      </c>
      <c r="M29" s="45">
        <f>IF(SUM(J29:L29)=0,0,SUM(J29:L29)/'Resid Cust Fcst '!Y30)</f>
        <v>0</v>
      </c>
      <c r="N29" s="137">
        <f>'Resid Cust Fcst '!$Z30*'Resid TSM UC Adj'!N29</f>
        <v>0</v>
      </c>
      <c r="O29" s="23">
        <f>'Resid Cust Fcst '!$Z30*'Resid TSM UC Adj'!O29</f>
        <v>0</v>
      </c>
      <c r="P29" s="23">
        <f>'Resid Cust Fcst '!$Z30*'Resid TSM UC Adj'!P29</f>
        <v>0</v>
      </c>
      <c r="Q29" s="45">
        <f>IF(SUM(N29:P29)=0,0,SUM(N29:P29)/'Resid Cust Fcst '!Z30)</f>
        <v>0</v>
      </c>
      <c r="R29" s="137">
        <f t="shared" si="2"/>
        <v>0</v>
      </c>
      <c r="S29" s="23">
        <f t="shared" si="4"/>
        <v>0</v>
      </c>
      <c r="T29" s="23">
        <f t="shared" si="5"/>
        <v>0</v>
      </c>
      <c r="U29" s="45">
        <f>IF(SUM(R29:T29)=0,0,SUM(R29:T29)/'Resid Cust Fcst '!AA30)</f>
        <v>0</v>
      </c>
      <c r="V29" s="137">
        <f>'Resid Cust Fcst '!$AB30*'Resid TSM UC Adj'!R29</f>
        <v>0</v>
      </c>
      <c r="W29" s="23">
        <f>'Resid Cust Fcst '!$AB30*'Resid TSM UC Adj'!S29</f>
        <v>0</v>
      </c>
      <c r="X29" s="23">
        <f>'Resid Cust Fcst '!$AB30*'Resid TSM UC Adj'!T29</f>
        <v>0</v>
      </c>
      <c r="Y29" s="45">
        <f>IF(SUM(V29:X29)=0,0,SUM(V29:X29)/'Resid Cust Fcst '!AB30)</f>
        <v>0</v>
      </c>
      <c r="Z29" s="137">
        <f t="shared" si="3"/>
        <v>0</v>
      </c>
      <c r="AA29" s="23">
        <f t="shared" si="6"/>
        <v>0</v>
      </c>
      <c r="AB29" s="23">
        <f t="shared" si="7"/>
        <v>0</v>
      </c>
      <c r="AC29" s="45">
        <f>IF(SUM(Z29:AB29)=0,0,SUM(Z29:AB29)/'Resid Cust Fcst '!AC30)</f>
        <v>0</v>
      </c>
    </row>
    <row r="30" spans="1:29">
      <c r="A30" s="153" t="s">
        <v>22</v>
      </c>
      <c r="B30" s="137">
        <f>'Resid Cust Fcst '!$W31*'Resid TSM UC Adj'!J30</f>
        <v>0</v>
      </c>
      <c r="C30" s="23">
        <f>'Resid Cust Fcst '!$W31*'Resid TSM UC Adj'!K30</f>
        <v>0</v>
      </c>
      <c r="D30" s="23">
        <f>'Resid Cust Fcst '!$W31*'Resid TSM UC Adj'!L30</f>
        <v>0</v>
      </c>
      <c r="E30" s="45">
        <f>IF(SUM(B30:D30)=0,0,SUM(B30:D30)/'Resid Cust Fcst '!W31)</f>
        <v>0</v>
      </c>
      <c r="F30" s="137">
        <f>'Resid Cust Fcst '!$X31*'Resid TSM UC Adj'!J30</f>
        <v>0</v>
      </c>
      <c r="G30" s="23">
        <f>'Resid Cust Fcst '!$X31*'Resid TSM UC Adj'!K30</f>
        <v>0</v>
      </c>
      <c r="H30" s="23">
        <f>'Resid Cust Fcst '!$X31*'Resid TSM UC Adj'!L30</f>
        <v>0</v>
      </c>
      <c r="I30" s="45">
        <f>IF(SUM(F30:H30)=0,0,SUM(F30:H30)/'Resid Cust Fcst '!X31)</f>
        <v>0</v>
      </c>
      <c r="J30" s="137">
        <f>'Resid Cust Fcst '!$Y31*'Resid TSM UC Adj'!J30</f>
        <v>0</v>
      </c>
      <c r="K30" s="23">
        <f>'Resid Cust Fcst '!$Y31*'Resid TSM UC Adj'!K30</f>
        <v>0</v>
      </c>
      <c r="L30" s="23">
        <f>'Resid Cust Fcst '!$Y31*'Resid TSM UC Adj'!L30</f>
        <v>0</v>
      </c>
      <c r="M30" s="45">
        <f>IF(SUM(J30:L30)=0,0,SUM(J30:L30)/'Resid Cust Fcst '!Y31)</f>
        <v>0</v>
      </c>
      <c r="N30" s="137">
        <f>'Resid Cust Fcst '!$Z31*'Resid TSM UC Adj'!N30</f>
        <v>0</v>
      </c>
      <c r="O30" s="23">
        <f>'Resid Cust Fcst '!$Z31*'Resid TSM UC Adj'!O30</f>
        <v>0</v>
      </c>
      <c r="P30" s="23">
        <f>'Resid Cust Fcst '!$Z31*'Resid TSM UC Adj'!P30</f>
        <v>0</v>
      </c>
      <c r="Q30" s="45">
        <f>IF(SUM(N30:P30)=0,0,SUM(N30:P30)/'Resid Cust Fcst '!Z31)</f>
        <v>0</v>
      </c>
      <c r="R30" s="137">
        <f t="shared" si="2"/>
        <v>0</v>
      </c>
      <c r="S30" s="23">
        <f t="shared" si="4"/>
        <v>0</v>
      </c>
      <c r="T30" s="23">
        <f t="shared" si="5"/>
        <v>0</v>
      </c>
      <c r="U30" s="45">
        <f>IF(SUM(R30:T30)=0,0,SUM(R30:T30)/'Resid Cust Fcst '!AA31)</f>
        <v>0</v>
      </c>
      <c r="V30" s="137">
        <f>'Resid Cust Fcst '!$AB31*'Resid TSM UC Adj'!R30</f>
        <v>0</v>
      </c>
      <c r="W30" s="23">
        <f>'Resid Cust Fcst '!$AB31*'Resid TSM UC Adj'!S30</f>
        <v>0</v>
      </c>
      <c r="X30" s="23">
        <f>'Resid Cust Fcst '!$AB31*'Resid TSM UC Adj'!T30</f>
        <v>0</v>
      </c>
      <c r="Y30" s="45">
        <f>IF(SUM(V30:X30)=0,0,SUM(V30:X30)/'Resid Cust Fcst '!AB31)</f>
        <v>0</v>
      </c>
      <c r="Z30" s="137">
        <f t="shared" si="3"/>
        <v>0</v>
      </c>
      <c r="AA30" s="23">
        <f t="shared" si="6"/>
        <v>0</v>
      </c>
      <c r="AB30" s="23">
        <f t="shared" si="7"/>
        <v>0</v>
      </c>
      <c r="AC30" s="45">
        <f>IF(SUM(Z30:AB30)=0,0,SUM(Z30:AB30)/'Resid Cust Fcst '!AC31)</f>
        <v>0</v>
      </c>
    </row>
    <row r="31" spans="1:29">
      <c r="A31" s="153" t="s">
        <v>23</v>
      </c>
      <c r="B31" s="137">
        <f>'Resid Cust Fcst '!$W32*'Resid TSM UC Adj'!J31</f>
        <v>0</v>
      </c>
      <c r="C31" s="23">
        <f>'Resid Cust Fcst '!$W32*'Resid TSM UC Adj'!K31</f>
        <v>0</v>
      </c>
      <c r="D31" s="23">
        <f>'Resid Cust Fcst '!$W32*'Resid TSM UC Adj'!L31</f>
        <v>0</v>
      </c>
      <c r="E31" s="45">
        <f>IF(SUM(B31:D31)=0,0,SUM(B31:D31)/'Resid Cust Fcst '!W32)</f>
        <v>0</v>
      </c>
      <c r="F31" s="137">
        <f>'Resid Cust Fcst '!$X32*'Resid TSM UC Adj'!J31</f>
        <v>0</v>
      </c>
      <c r="G31" s="23">
        <f>'Resid Cust Fcst '!$X32*'Resid TSM UC Adj'!K31</f>
        <v>0</v>
      </c>
      <c r="H31" s="23">
        <f>'Resid Cust Fcst '!$X32*'Resid TSM UC Adj'!L31</f>
        <v>0</v>
      </c>
      <c r="I31" s="45">
        <f>IF(SUM(F31:H31)=0,0,SUM(F31:H31)/'Resid Cust Fcst '!X32)</f>
        <v>0</v>
      </c>
      <c r="J31" s="137">
        <f>'Resid Cust Fcst '!$Y32*'Resid TSM UC Adj'!J31</f>
        <v>0</v>
      </c>
      <c r="K31" s="23">
        <f>'Resid Cust Fcst '!$Y32*'Resid TSM UC Adj'!K31</f>
        <v>0</v>
      </c>
      <c r="L31" s="23">
        <f>'Resid Cust Fcst '!$Y32*'Resid TSM UC Adj'!L31</f>
        <v>0</v>
      </c>
      <c r="M31" s="45">
        <f>IF(SUM(J31:L31)=0,0,SUM(J31:L31)/'Resid Cust Fcst '!Y32)</f>
        <v>0</v>
      </c>
      <c r="N31" s="137">
        <f>'Resid Cust Fcst '!$Z32*'Resid TSM UC Adj'!N31</f>
        <v>0</v>
      </c>
      <c r="O31" s="23">
        <f>'Resid Cust Fcst '!$Z32*'Resid TSM UC Adj'!O31</f>
        <v>0</v>
      </c>
      <c r="P31" s="23">
        <f>'Resid Cust Fcst '!$Z32*'Resid TSM UC Adj'!P31</f>
        <v>0</v>
      </c>
      <c r="Q31" s="45">
        <f>IF(SUM(N31:P31)=0,0,SUM(N31:P31)/'Resid Cust Fcst '!Z32)</f>
        <v>0</v>
      </c>
      <c r="R31" s="137">
        <f t="shared" si="2"/>
        <v>0</v>
      </c>
      <c r="S31" s="23">
        <f t="shared" si="4"/>
        <v>0</v>
      </c>
      <c r="T31" s="23">
        <f t="shared" si="5"/>
        <v>0</v>
      </c>
      <c r="U31" s="45">
        <f>IF(SUM(R31:T31)=0,0,SUM(R31:T31)/'Resid Cust Fcst '!AA32)</f>
        <v>0</v>
      </c>
      <c r="V31" s="137">
        <f>'Resid Cust Fcst '!$AB32*'Resid TSM UC Adj'!R31</f>
        <v>0</v>
      </c>
      <c r="W31" s="23">
        <f>'Resid Cust Fcst '!$AB32*'Resid TSM UC Adj'!S31</f>
        <v>0</v>
      </c>
      <c r="X31" s="23">
        <f>'Resid Cust Fcst '!$AB32*'Resid TSM UC Adj'!T31</f>
        <v>0</v>
      </c>
      <c r="Y31" s="45">
        <f>IF(SUM(V31:X31)=0,0,SUM(V31:X31)/'Resid Cust Fcst '!AB32)</f>
        <v>0</v>
      </c>
      <c r="Z31" s="137">
        <f t="shared" si="3"/>
        <v>0</v>
      </c>
      <c r="AA31" s="23">
        <f t="shared" si="6"/>
        <v>0</v>
      </c>
      <c r="AB31" s="23">
        <f t="shared" si="7"/>
        <v>0</v>
      </c>
      <c r="AC31" s="45">
        <f>IF(SUM(Z31:AB31)=0,0,SUM(Z31:AB31)/'Resid Cust Fcst '!AC32)</f>
        <v>0</v>
      </c>
    </row>
    <row r="32" spans="1:29">
      <c r="A32" s="153" t="s">
        <v>24</v>
      </c>
      <c r="B32" s="137">
        <f>'Resid Cust Fcst '!$W33*'Resid TSM UC Adj'!J32</f>
        <v>0</v>
      </c>
      <c r="C32" s="23">
        <f>'Resid Cust Fcst '!$W33*'Resid TSM UC Adj'!K32</f>
        <v>0</v>
      </c>
      <c r="D32" s="23">
        <f>'Resid Cust Fcst '!$W33*'Resid TSM UC Adj'!L32</f>
        <v>0</v>
      </c>
      <c r="E32" s="45">
        <f>IF(SUM(B32:D32)=0,0,SUM(B32:D32)/'Resid Cust Fcst '!W33)</f>
        <v>0</v>
      </c>
      <c r="F32" s="137">
        <f>'Resid Cust Fcst '!$X33*'Resid TSM UC Adj'!J32</f>
        <v>0</v>
      </c>
      <c r="G32" s="23">
        <f>'Resid Cust Fcst '!$X33*'Resid TSM UC Adj'!K32</f>
        <v>0</v>
      </c>
      <c r="H32" s="23">
        <f>'Resid Cust Fcst '!$X33*'Resid TSM UC Adj'!L32</f>
        <v>0</v>
      </c>
      <c r="I32" s="45">
        <f>IF(SUM(F32:H32)=0,0,SUM(F32:H32)/'Resid Cust Fcst '!X33)</f>
        <v>0</v>
      </c>
      <c r="J32" s="137">
        <f>'Resid Cust Fcst '!$Y33*'Resid TSM UC Adj'!J32</f>
        <v>0</v>
      </c>
      <c r="K32" s="23">
        <f>'Resid Cust Fcst '!$Y33*'Resid TSM UC Adj'!K32</f>
        <v>0</v>
      </c>
      <c r="L32" s="23">
        <f>'Resid Cust Fcst '!$Y33*'Resid TSM UC Adj'!L32</f>
        <v>0</v>
      </c>
      <c r="M32" s="45">
        <f>IF(SUM(J32:L32)=0,0,SUM(J32:L32)/'Resid Cust Fcst '!Y33)</f>
        <v>0</v>
      </c>
      <c r="N32" s="137">
        <f>'Resid Cust Fcst '!$Z33*'Resid TSM UC Adj'!N32</f>
        <v>0</v>
      </c>
      <c r="O32" s="23">
        <f>'Resid Cust Fcst '!$Z33*'Resid TSM UC Adj'!O32</f>
        <v>0</v>
      </c>
      <c r="P32" s="23">
        <f>'Resid Cust Fcst '!$Z33*'Resid TSM UC Adj'!P32</f>
        <v>0</v>
      </c>
      <c r="Q32" s="45">
        <f>IF(SUM(N32:P32)=0,0,SUM(N32:P32)/'Resid Cust Fcst '!Z33)</f>
        <v>0</v>
      </c>
      <c r="R32" s="137">
        <f t="shared" si="2"/>
        <v>0</v>
      </c>
      <c r="S32" s="23">
        <f t="shared" si="4"/>
        <v>0</v>
      </c>
      <c r="T32" s="23">
        <f t="shared" si="5"/>
        <v>0</v>
      </c>
      <c r="U32" s="45">
        <f>IF(SUM(R32:T32)=0,0,SUM(R32:T32)/'Resid Cust Fcst '!AA33)</f>
        <v>0</v>
      </c>
      <c r="V32" s="137">
        <f>'Resid Cust Fcst '!$AB33*'Resid TSM UC Adj'!R32</f>
        <v>0</v>
      </c>
      <c r="W32" s="23">
        <f>'Resid Cust Fcst '!$AB33*'Resid TSM UC Adj'!S32</f>
        <v>0</v>
      </c>
      <c r="X32" s="23">
        <f>'Resid Cust Fcst '!$AB33*'Resid TSM UC Adj'!T32</f>
        <v>0</v>
      </c>
      <c r="Y32" s="45">
        <f>IF(SUM(V32:X32)=0,0,SUM(V32:X32)/'Resid Cust Fcst '!AB33)</f>
        <v>0</v>
      </c>
      <c r="Z32" s="137">
        <f t="shared" si="3"/>
        <v>0</v>
      </c>
      <c r="AA32" s="23">
        <f t="shared" si="6"/>
        <v>0</v>
      </c>
      <c r="AB32" s="23">
        <f t="shared" si="7"/>
        <v>0</v>
      </c>
      <c r="AC32" s="45">
        <f>IF(SUM(Z32:AB32)=0,0,SUM(Z32:AB32)/'Resid Cust Fcst '!AC33)</f>
        <v>0</v>
      </c>
    </row>
    <row r="33" spans="1:29">
      <c r="A33" s="153" t="s">
        <v>25</v>
      </c>
      <c r="B33" s="137">
        <f>'Resid Cust Fcst '!$W34*'Resid TSM UC Adj'!J33</f>
        <v>0</v>
      </c>
      <c r="C33" s="23">
        <f>'Resid Cust Fcst '!$W34*'Resid TSM UC Adj'!K33</f>
        <v>0</v>
      </c>
      <c r="D33" s="23">
        <f>'Resid Cust Fcst '!$W34*'Resid TSM UC Adj'!L33</f>
        <v>0</v>
      </c>
      <c r="E33" s="45">
        <f>IF(SUM(B33:D33)=0,0,SUM(B33:D33)/'Resid Cust Fcst '!W34)</f>
        <v>0</v>
      </c>
      <c r="F33" s="137">
        <f>'Resid Cust Fcst '!$X34*'Resid TSM UC Adj'!J33</f>
        <v>0</v>
      </c>
      <c r="G33" s="23">
        <f>'Resid Cust Fcst '!$X34*'Resid TSM UC Adj'!K33</f>
        <v>0</v>
      </c>
      <c r="H33" s="23">
        <f>'Resid Cust Fcst '!$X34*'Resid TSM UC Adj'!L33</f>
        <v>0</v>
      </c>
      <c r="I33" s="45">
        <f>IF(SUM(F33:H33)=0,0,SUM(F33:H33)/'Resid Cust Fcst '!X34)</f>
        <v>0</v>
      </c>
      <c r="J33" s="137">
        <f>'Resid Cust Fcst '!$Y34*'Resid TSM UC Adj'!J33</f>
        <v>0</v>
      </c>
      <c r="K33" s="23">
        <f>'Resid Cust Fcst '!$Y34*'Resid TSM UC Adj'!K33</f>
        <v>0</v>
      </c>
      <c r="L33" s="23">
        <f>'Resid Cust Fcst '!$Y34*'Resid TSM UC Adj'!L33</f>
        <v>0</v>
      </c>
      <c r="M33" s="45">
        <f>IF(SUM(J33:L33)=0,0,SUM(J33:L33)/'Resid Cust Fcst '!Y34)</f>
        <v>0</v>
      </c>
      <c r="N33" s="137">
        <f>'Resid Cust Fcst '!$Z34*'Resid TSM UC Adj'!N33</f>
        <v>0</v>
      </c>
      <c r="O33" s="23">
        <f>'Resid Cust Fcst '!$Z34*'Resid TSM UC Adj'!O33</f>
        <v>0</v>
      </c>
      <c r="P33" s="23">
        <f>'Resid Cust Fcst '!$Z34*'Resid TSM UC Adj'!P33</f>
        <v>0</v>
      </c>
      <c r="Q33" s="45">
        <f>IF(SUM(N33:P33)=0,0,SUM(N33:P33)/'Resid Cust Fcst '!Z34)</f>
        <v>0</v>
      </c>
      <c r="R33" s="137">
        <f t="shared" si="2"/>
        <v>0</v>
      </c>
      <c r="S33" s="23">
        <f t="shared" si="4"/>
        <v>0</v>
      </c>
      <c r="T33" s="23">
        <f t="shared" si="5"/>
        <v>0</v>
      </c>
      <c r="U33" s="45">
        <f>IF(SUM(R33:T33)=0,0,SUM(R33:T33)/'Resid Cust Fcst '!AA34)</f>
        <v>0</v>
      </c>
      <c r="V33" s="137">
        <f>'Resid Cust Fcst '!$AB34*'Resid TSM UC Adj'!R33</f>
        <v>0</v>
      </c>
      <c r="W33" s="23">
        <f>'Resid Cust Fcst '!$AB34*'Resid TSM UC Adj'!S33</f>
        <v>0</v>
      </c>
      <c r="X33" s="23">
        <f>'Resid Cust Fcst '!$AB34*'Resid TSM UC Adj'!T33</f>
        <v>0</v>
      </c>
      <c r="Y33" s="45">
        <f>IF(SUM(V33:X33)=0,0,SUM(V33:X33)/'Resid Cust Fcst '!AB34)</f>
        <v>0</v>
      </c>
      <c r="Z33" s="137">
        <f t="shared" si="3"/>
        <v>0</v>
      </c>
      <c r="AA33" s="23">
        <f t="shared" si="6"/>
        <v>0</v>
      </c>
      <c r="AB33" s="23">
        <f t="shared" si="7"/>
        <v>0</v>
      </c>
      <c r="AC33" s="45">
        <f>IF(SUM(Z33:AB33)=0,0,SUM(Z33:AB33)/'Resid Cust Fcst '!AC34)</f>
        <v>0</v>
      </c>
    </row>
    <row r="34" spans="1:29">
      <c r="A34" s="153" t="s">
        <v>125</v>
      </c>
      <c r="B34" s="137">
        <f>'Resid Cust Fcst '!$W35*'Resid TSM UC Adj'!J34</f>
        <v>0</v>
      </c>
      <c r="C34" s="23">
        <f>'Resid Cust Fcst '!$W35*'Resid TSM UC Adj'!K34</f>
        <v>0</v>
      </c>
      <c r="D34" s="23">
        <f>'Resid Cust Fcst '!$W35*'Resid TSM UC Adj'!L34</f>
        <v>0</v>
      </c>
      <c r="E34" s="45">
        <f>IF(SUM(B34:D34)=0,0,SUM(B34:D34)/'Resid Cust Fcst '!W35)</f>
        <v>0</v>
      </c>
      <c r="F34" s="137">
        <f>'Resid Cust Fcst '!$X35*'Resid TSM UC Adj'!J34</f>
        <v>0</v>
      </c>
      <c r="G34" s="23">
        <f>'Resid Cust Fcst '!$X35*'Resid TSM UC Adj'!K34</f>
        <v>0</v>
      </c>
      <c r="H34" s="23">
        <f>'Resid Cust Fcst '!$X35*'Resid TSM UC Adj'!L34</f>
        <v>0</v>
      </c>
      <c r="I34" s="45">
        <f>IF(SUM(F34:H34)=0,0,SUM(F34:H34)/'Resid Cust Fcst '!X35)</f>
        <v>0</v>
      </c>
      <c r="J34" s="137">
        <f>'Resid Cust Fcst '!$Y35*'Resid TSM UC Adj'!J34</f>
        <v>0</v>
      </c>
      <c r="K34" s="23">
        <f>'Resid Cust Fcst '!$Y35*'Resid TSM UC Adj'!K34</f>
        <v>0</v>
      </c>
      <c r="L34" s="23">
        <f>'Resid Cust Fcst '!$Y35*'Resid TSM UC Adj'!L34</f>
        <v>0</v>
      </c>
      <c r="M34" s="45">
        <f>IF(SUM(J34:L34)=0,0,SUM(J34:L34)/'Resid Cust Fcst '!Y35)</f>
        <v>0</v>
      </c>
      <c r="N34" s="137">
        <f>'Resid Cust Fcst '!$Z35*'Resid TSM UC Adj'!N34</f>
        <v>0</v>
      </c>
      <c r="O34" s="23">
        <f>'Resid Cust Fcst '!$Z35*'Resid TSM UC Adj'!O34</f>
        <v>0</v>
      </c>
      <c r="P34" s="23">
        <f>'Resid Cust Fcst '!$Z35*'Resid TSM UC Adj'!P34</f>
        <v>0</v>
      </c>
      <c r="Q34" s="45">
        <f>IF(SUM(N34:P34)=0,0,SUM(N34:P34)/'Resid Cust Fcst '!Z35)</f>
        <v>0</v>
      </c>
      <c r="R34" s="137">
        <f t="shared" si="2"/>
        <v>0</v>
      </c>
      <c r="S34" s="23">
        <f t="shared" si="4"/>
        <v>0</v>
      </c>
      <c r="T34" s="23">
        <f t="shared" si="5"/>
        <v>0</v>
      </c>
      <c r="U34" s="45">
        <f>IF(SUM(R34:T34)=0,0,SUM(R34:T34)/'Resid Cust Fcst '!AA35)</f>
        <v>0</v>
      </c>
      <c r="V34" s="137">
        <f>'Resid Cust Fcst '!$AB35*'Resid TSM UC Adj'!R34</f>
        <v>0</v>
      </c>
      <c r="W34" s="23">
        <f>'Resid Cust Fcst '!$AB35*'Resid TSM UC Adj'!S34</f>
        <v>0</v>
      </c>
      <c r="X34" s="23">
        <f>'Resid Cust Fcst '!$AB35*'Resid TSM UC Adj'!T34</f>
        <v>0</v>
      </c>
      <c r="Y34" s="45">
        <f>IF(SUM(V34:X34)=0,0,SUM(V34:X34)/'Resid Cust Fcst '!AB35)</f>
        <v>0</v>
      </c>
      <c r="Z34" s="137">
        <f t="shared" si="3"/>
        <v>0</v>
      </c>
      <c r="AA34" s="23">
        <f t="shared" si="6"/>
        <v>0</v>
      </c>
      <c r="AB34" s="23">
        <f t="shared" si="7"/>
        <v>0</v>
      </c>
      <c r="AC34" s="45">
        <f>IF(SUM(Z34:AB34)=0,0,SUM(Z34:AB34)/'Resid Cust Fcst '!AC35)</f>
        <v>0</v>
      </c>
    </row>
    <row r="35" spans="1:29">
      <c r="A35" s="153" t="s">
        <v>126</v>
      </c>
      <c r="B35" s="137">
        <f>'Resid Cust Fcst '!$W36*'Resid TSM UC Adj'!J35</f>
        <v>0</v>
      </c>
      <c r="C35" s="23">
        <f>'Resid Cust Fcst '!$W36*'Resid TSM UC Adj'!K35</f>
        <v>0</v>
      </c>
      <c r="D35" s="23">
        <f>'Resid Cust Fcst '!$W36*'Resid TSM UC Adj'!L35</f>
        <v>0</v>
      </c>
      <c r="E35" s="45">
        <f>IF(SUM(B35:D35)=0,0,SUM(B35:D35)/'Resid Cust Fcst '!W36)</f>
        <v>0</v>
      </c>
      <c r="F35" s="137">
        <f>'Resid Cust Fcst '!$X36*'Resid TSM UC Adj'!J35</f>
        <v>0</v>
      </c>
      <c r="G35" s="23">
        <f>'Resid Cust Fcst '!$X36*'Resid TSM UC Adj'!K35</f>
        <v>0</v>
      </c>
      <c r="H35" s="23">
        <f>'Resid Cust Fcst '!$X36*'Resid TSM UC Adj'!L35</f>
        <v>0</v>
      </c>
      <c r="I35" s="45">
        <f>IF(SUM(F35:H35)=0,0,SUM(F35:H35)/'Resid Cust Fcst '!X36)</f>
        <v>0</v>
      </c>
      <c r="J35" s="137">
        <f>'Resid Cust Fcst '!$Y36*'Resid TSM UC Adj'!J35</f>
        <v>0</v>
      </c>
      <c r="K35" s="23">
        <f>'Resid Cust Fcst '!$Y36*'Resid TSM UC Adj'!K35</f>
        <v>0</v>
      </c>
      <c r="L35" s="23">
        <f>'Resid Cust Fcst '!$Y36*'Resid TSM UC Adj'!L35</f>
        <v>0</v>
      </c>
      <c r="M35" s="45">
        <f>IF(SUM(J35:L35)=0,0,SUM(J35:L35)/'Resid Cust Fcst '!Y36)</f>
        <v>0</v>
      </c>
      <c r="N35" s="137">
        <f>'Resid Cust Fcst '!$Z36*'Resid TSM UC Adj'!N35</f>
        <v>0</v>
      </c>
      <c r="O35" s="23">
        <f>'Resid Cust Fcst '!$Z36*'Resid TSM UC Adj'!O35</f>
        <v>0</v>
      </c>
      <c r="P35" s="23">
        <f>'Resid Cust Fcst '!$Z36*'Resid TSM UC Adj'!P35</f>
        <v>0</v>
      </c>
      <c r="Q35" s="45">
        <f>IF(SUM(N35:P35)=0,0,SUM(N35:P35)/'Resid Cust Fcst '!Z36)</f>
        <v>0</v>
      </c>
      <c r="R35" s="137">
        <f t="shared" si="2"/>
        <v>0</v>
      </c>
      <c r="S35" s="23">
        <f t="shared" si="4"/>
        <v>0</v>
      </c>
      <c r="T35" s="23">
        <f t="shared" si="5"/>
        <v>0</v>
      </c>
      <c r="U35" s="45">
        <f>IF(SUM(R35:T35)=0,0,SUM(R35:T35)/'Resid Cust Fcst '!AA36)</f>
        <v>0</v>
      </c>
      <c r="V35" s="137">
        <f>'Resid Cust Fcst '!$AB36*'Resid TSM UC Adj'!R35</f>
        <v>0</v>
      </c>
      <c r="W35" s="23">
        <f>'Resid Cust Fcst '!$AB36*'Resid TSM UC Adj'!S35</f>
        <v>0</v>
      </c>
      <c r="X35" s="23">
        <f>'Resid Cust Fcst '!$AB36*'Resid TSM UC Adj'!T35</f>
        <v>0</v>
      </c>
      <c r="Y35" s="45">
        <f>IF(SUM(V35:X35)=0,0,SUM(V35:X35)/'Resid Cust Fcst '!AB36)</f>
        <v>0</v>
      </c>
      <c r="Z35" s="137">
        <f t="shared" si="3"/>
        <v>0</v>
      </c>
      <c r="AA35" s="23">
        <f t="shared" si="6"/>
        <v>0</v>
      </c>
      <c r="AB35" s="23">
        <f t="shared" si="7"/>
        <v>0</v>
      </c>
      <c r="AC35" s="45">
        <f>IF(SUM(Z35:AB35)=0,0,SUM(Z35:AB35)/'Resid Cust Fcst '!AC36)</f>
        <v>0</v>
      </c>
    </row>
    <row r="36" spans="1:29">
      <c r="A36" s="153" t="s">
        <v>26</v>
      </c>
      <c r="B36" s="137">
        <f>'Resid Cust Fcst '!$W37*'Resid TSM UC Adj'!J36</f>
        <v>0</v>
      </c>
      <c r="C36" s="23">
        <f>'Resid Cust Fcst '!$W37*'Resid TSM UC Adj'!K36</f>
        <v>0</v>
      </c>
      <c r="D36" s="23">
        <f>'Resid Cust Fcst '!$W37*'Resid TSM UC Adj'!L36</f>
        <v>0</v>
      </c>
      <c r="E36" s="45">
        <f>IF(SUM(B36:D36)=0,0,SUM(B36:D36)/'Resid Cust Fcst '!W37)</f>
        <v>0</v>
      </c>
      <c r="F36" s="137">
        <f>'Resid Cust Fcst '!$X37*'Resid TSM UC Adj'!J36</f>
        <v>0</v>
      </c>
      <c r="G36" s="23">
        <f>'Resid Cust Fcst '!$X37*'Resid TSM UC Adj'!K36</f>
        <v>0</v>
      </c>
      <c r="H36" s="23">
        <f>'Resid Cust Fcst '!$X37*'Resid TSM UC Adj'!L36</f>
        <v>0</v>
      </c>
      <c r="I36" s="45">
        <f>IF(SUM(F36:H36)=0,0,SUM(F36:H36)/'Resid Cust Fcst '!X37)</f>
        <v>0</v>
      </c>
      <c r="J36" s="137">
        <f>'Resid Cust Fcst '!$Y37*'Resid TSM UC Adj'!J36</f>
        <v>0</v>
      </c>
      <c r="K36" s="23">
        <f>'Resid Cust Fcst '!$Y37*'Resid TSM UC Adj'!K36</f>
        <v>0</v>
      </c>
      <c r="L36" s="23">
        <f>'Resid Cust Fcst '!$Y37*'Resid TSM UC Adj'!L36</f>
        <v>0</v>
      </c>
      <c r="M36" s="45">
        <f>IF(SUM(J36:L36)=0,0,SUM(J36:L36)/'Resid Cust Fcst '!Y37)</f>
        <v>0</v>
      </c>
      <c r="N36" s="137">
        <f>'Resid Cust Fcst '!$Z37*'Resid TSM UC Adj'!N36</f>
        <v>0</v>
      </c>
      <c r="O36" s="23">
        <f>'Resid Cust Fcst '!$Z37*'Resid TSM UC Adj'!O36</f>
        <v>0</v>
      </c>
      <c r="P36" s="23">
        <f>'Resid Cust Fcst '!$Z37*'Resid TSM UC Adj'!P36</f>
        <v>0</v>
      </c>
      <c r="Q36" s="45">
        <f>IF(SUM(N36:P36)=0,0,SUM(N36:P36)/'Resid Cust Fcst '!Z37)</f>
        <v>0</v>
      </c>
      <c r="R36" s="137">
        <f t="shared" si="2"/>
        <v>0</v>
      </c>
      <c r="S36" s="23">
        <f t="shared" si="4"/>
        <v>0</v>
      </c>
      <c r="T36" s="23">
        <f t="shared" si="5"/>
        <v>0</v>
      </c>
      <c r="U36" s="45">
        <f>IF(SUM(R36:T36)=0,0,SUM(R36:T36)/'Resid Cust Fcst '!AA37)</f>
        <v>0</v>
      </c>
      <c r="V36" s="137">
        <f>'Resid Cust Fcst '!$AB37*'Resid TSM UC Adj'!R36</f>
        <v>0</v>
      </c>
      <c r="W36" s="23">
        <f>'Resid Cust Fcst '!$AB37*'Resid TSM UC Adj'!S36</f>
        <v>0</v>
      </c>
      <c r="X36" s="23">
        <f>'Resid Cust Fcst '!$AB37*'Resid TSM UC Adj'!T36</f>
        <v>0</v>
      </c>
      <c r="Y36" s="45">
        <f>IF(SUM(V36:X36)=0,0,SUM(V36:X36)/'Resid Cust Fcst '!AB37)</f>
        <v>0</v>
      </c>
      <c r="Z36" s="137">
        <f t="shared" si="3"/>
        <v>0</v>
      </c>
      <c r="AA36" s="23">
        <f t="shared" si="6"/>
        <v>0</v>
      </c>
      <c r="AB36" s="23">
        <f t="shared" si="7"/>
        <v>0</v>
      </c>
      <c r="AC36" s="45">
        <f>IF(SUM(Z36:AB36)=0,0,SUM(Z36:AB36)/'Resid Cust Fcst '!AC37)</f>
        <v>0</v>
      </c>
    </row>
    <row r="37" spans="1:29">
      <c r="A37" s="153" t="s">
        <v>27</v>
      </c>
      <c r="B37" s="137">
        <f>'Resid Cust Fcst '!$W38*'Resid TSM UC Adj'!J37</f>
        <v>0</v>
      </c>
      <c r="C37" s="23">
        <f>'Resid Cust Fcst '!$W38*'Resid TSM UC Adj'!K37</f>
        <v>0</v>
      </c>
      <c r="D37" s="23">
        <f>'Resid Cust Fcst '!$W38*'Resid TSM UC Adj'!L37</f>
        <v>0</v>
      </c>
      <c r="E37" s="45">
        <f>IF(SUM(B37:D37)=0,0,SUM(B37:D37)/'Resid Cust Fcst '!W38)</f>
        <v>0</v>
      </c>
      <c r="F37" s="137">
        <f>'Resid Cust Fcst '!$X38*'Resid TSM UC Adj'!J37</f>
        <v>0</v>
      </c>
      <c r="G37" s="23">
        <f>'Resid Cust Fcst '!$X38*'Resid TSM UC Adj'!K37</f>
        <v>0</v>
      </c>
      <c r="H37" s="23">
        <f>'Resid Cust Fcst '!$X38*'Resid TSM UC Adj'!L37</f>
        <v>0</v>
      </c>
      <c r="I37" s="45">
        <f>IF(SUM(F37:H37)=0,0,SUM(F37:H37)/'Resid Cust Fcst '!X38)</f>
        <v>0</v>
      </c>
      <c r="J37" s="137">
        <f>'Resid Cust Fcst '!$Y38*'Resid TSM UC Adj'!J37</f>
        <v>0</v>
      </c>
      <c r="K37" s="23">
        <f>'Resid Cust Fcst '!$Y38*'Resid TSM UC Adj'!K37</f>
        <v>0</v>
      </c>
      <c r="L37" s="23">
        <f>'Resid Cust Fcst '!$Y38*'Resid TSM UC Adj'!L37</f>
        <v>0</v>
      </c>
      <c r="M37" s="45">
        <f>IF(SUM(J37:L37)=0,0,SUM(J37:L37)/'Resid Cust Fcst '!Y38)</f>
        <v>0</v>
      </c>
      <c r="N37" s="137">
        <f>'Resid Cust Fcst '!$Z38*'Resid TSM UC Adj'!N37</f>
        <v>0</v>
      </c>
      <c r="O37" s="23">
        <f>'Resid Cust Fcst '!$Z38*'Resid TSM UC Adj'!O37</f>
        <v>0</v>
      </c>
      <c r="P37" s="23">
        <f>'Resid Cust Fcst '!$Z38*'Resid TSM UC Adj'!P37</f>
        <v>0</v>
      </c>
      <c r="Q37" s="45">
        <f>IF(SUM(N37:P37)=0,0,SUM(N37:P37)/'Resid Cust Fcst '!Z38)</f>
        <v>0</v>
      </c>
      <c r="R37" s="137">
        <f t="shared" si="2"/>
        <v>0</v>
      </c>
      <c r="S37" s="23">
        <f t="shared" si="4"/>
        <v>0</v>
      </c>
      <c r="T37" s="23">
        <f t="shared" si="5"/>
        <v>0</v>
      </c>
      <c r="U37" s="45">
        <f>IF(SUM(R37:T37)=0,0,SUM(R37:T37)/'Resid Cust Fcst '!AA38)</f>
        <v>0</v>
      </c>
      <c r="V37" s="137">
        <f>'Resid Cust Fcst '!$AB38*'Resid TSM UC Adj'!R37</f>
        <v>0</v>
      </c>
      <c r="W37" s="23">
        <f>'Resid Cust Fcst '!$AB38*'Resid TSM UC Adj'!S37</f>
        <v>0</v>
      </c>
      <c r="X37" s="23">
        <f>'Resid Cust Fcst '!$AB38*'Resid TSM UC Adj'!T37</f>
        <v>0</v>
      </c>
      <c r="Y37" s="45">
        <f>IF(SUM(V37:X37)=0,0,SUM(V37:X37)/'Resid Cust Fcst '!AB38)</f>
        <v>0</v>
      </c>
      <c r="Z37" s="137">
        <f t="shared" si="3"/>
        <v>0</v>
      </c>
      <c r="AA37" s="23">
        <f t="shared" si="6"/>
        <v>0</v>
      </c>
      <c r="AB37" s="23">
        <f t="shared" si="7"/>
        <v>0</v>
      </c>
      <c r="AC37" s="45">
        <f>IF(SUM(Z37:AB37)=0,0,SUM(Z37:AB37)/'Resid Cust Fcst '!AC38)</f>
        <v>0</v>
      </c>
    </row>
    <row r="38" spans="1:29" ht="13.5" thickBot="1">
      <c r="A38" s="156"/>
      <c r="B38" s="137"/>
      <c r="C38" s="23"/>
      <c r="D38" s="23"/>
      <c r="E38" s="45"/>
      <c r="F38" s="137"/>
      <c r="G38" s="23"/>
      <c r="H38" s="23"/>
      <c r="I38" s="45"/>
      <c r="J38" s="137"/>
      <c r="K38" s="23"/>
      <c r="L38" s="23"/>
      <c r="M38" s="45"/>
      <c r="N38" s="137"/>
      <c r="O38" s="23"/>
      <c r="P38" s="23"/>
      <c r="Q38" s="45"/>
      <c r="R38" s="244"/>
      <c r="S38" s="240"/>
      <c r="T38" s="240"/>
      <c r="U38" s="249"/>
      <c r="V38" s="137"/>
      <c r="W38" s="23"/>
      <c r="X38" s="23"/>
      <c r="Y38" s="45"/>
      <c r="Z38" s="137"/>
      <c r="AA38" s="23"/>
      <c r="AB38" s="23"/>
      <c r="AC38" s="45"/>
    </row>
    <row r="39" spans="1:29" ht="13.5" thickBot="1">
      <c r="A39" s="245" t="s">
        <v>2</v>
      </c>
      <c r="B39" s="317">
        <f>IF(SUM(B7:B37)=0,0,SUM(B7:B37)/'Resid Cust Fcst '!$W$40)</f>
        <v>1267.1820742520838</v>
      </c>
      <c r="C39" s="318">
        <f>IF(SUM(C7:C37)=0,0,SUM(C7:C37)/'Resid Cust Fcst '!$W$40)</f>
        <v>1037.6303914184402</v>
      </c>
      <c r="D39" s="318">
        <f>IF(SUM(D7:D37)=0,0,SUM(D7:D37)/'Resid Cust Fcst '!$W$40)</f>
        <v>253.14206664371423</v>
      </c>
      <c r="E39" s="319">
        <f>SUM(B39:D39)</f>
        <v>2557.9545323142383</v>
      </c>
      <c r="F39" s="317">
        <f>IF(SUM(F7:F37)=0,0,SUM(F7:F37)/'Resid Cust Fcst '!$X$40)</f>
        <v>1047.7132876392011</v>
      </c>
      <c r="G39" s="318">
        <f>IF(SUM(G7:G37)=0,0,SUM(G7:G37)/'Resid Cust Fcst '!$X$40)</f>
        <v>1820.1067123607984</v>
      </c>
      <c r="H39" s="318">
        <f>IF(SUM(H7:H37)=0,0,SUM(H7:H37)/'Resid Cust Fcst '!$X$40)</f>
        <v>373.18</v>
      </c>
      <c r="I39" s="319">
        <f>SUM(F39:H39)</f>
        <v>3240.9999999999995</v>
      </c>
      <c r="J39" s="317">
        <f>IF(SUM(J7:J37)=0,0,SUM(J7:J37)/'Resid Cust Fcst '!$Y$40)</f>
        <v>603.52445620826381</v>
      </c>
      <c r="K39" s="318">
        <f>IF(SUM(K7:K37)=0,0,SUM(K7:K37)/'Resid Cust Fcst '!$Y$40)</f>
        <v>2264.2955437917358</v>
      </c>
      <c r="L39" s="318">
        <f>IF(SUM(L7:L37)=0,0,SUM(L7:L37)/'Resid Cust Fcst '!$Y$40)</f>
        <v>373.17999999999995</v>
      </c>
      <c r="M39" s="319">
        <f>SUM(J39:L39)</f>
        <v>3240.9999999999995</v>
      </c>
      <c r="N39" s="317">
        <f>IF(SUM(N7:N37)=0,0,SUM(N7:N37)/'Resid Cust Fcst '!$Z$40)</f>
        <v>450.87878285848166</v>
      </c>
      <c r="O39" s="318">
        <f>IF(SUM(O7:O37)=0,0,SUM(O7:O37)/'Resid Cust Fcst '!$Z$40)</f>
        <v>2416.9412171415183</v>
      </c>
      <c r="P39" s="318">
        <f>IF(SUM(P7:P37)=0,0,SUM(P7:P37)/'Resid Cust Fcst '!$Z$40)</f>
        <v>373.18000000000006</v>
      </c>
      <c r="Q39" s="319">
        <f>SUM(N39:P39)</f>
        <v>3241</v>
      </c>
      <c r="R39" s="317">
        <f>IF(SUM(R7:R37)=0,0,SUM(R7:R37)/'Resid Cust Fcst '!$AA$40)</f>
        <v>1107.0436171690126</v>
      </c>
      <c r="S39" s="318">
        <f>IF(SUM(S7:S37)=0,0,SUM(S7:S37)/'Resid Cust Fcst '!$AA$40)</f>
        <v>1316.8047271883149</v>
      </c>
      <c r="T39" s="318">
        <f>IF(SUM(T7:T37)=0,0,SUM(T7:T37)/'Resid Cust Fcst '!$AA$40)</f>
        <v>278.52151541047186</v>
      </c>
      <c r="U39" s="319">
        <f>SUM(R39:T39)</f>
        <v>2702.3698597677994</v>
      </c>
      <c r="V39" s="317">
        <f>IF(SUM(V7:V37)=0,0,SUM(V7:V37)/'Resid Cust Fcst '!$AB$40)</f>
        <v>0</v>
      </c>
      <c r="W39" s="318">
        <f>IF(SUM(W7:W37)=0,0,SUM(W7:W37)/'Resid Cust Fcst '!$AB$40)</f>
        <v>2227.9600000000005</v>
      </c>
      <c r="X39" s="318">
        <f>IF(SUM(X7:X37)=0,0,SUM(X7:X37)/'Resid Cust Fcst '!$AB$40)</f>
        <v>1013.0400000000002</v>
      </c>
      <c r="Y39" s="319">
        <f>SUM(V39:X39)</f>
        <v>3241.0000000000009</v>
      </c>
      <c r="Z39" s="317">
        <f>IF(SUM(Z7:Z37)=0,0,SUM(Z7:Z37)/'Resid Cust Fcst '!$AC$40)</f>
        <v>968.66316502288601</v>
      </c>
      <c r="AA39" s="318">
        <f>IF(SUM(AA7:AA37)=0,0,SUM(AA7:AA37)/'Resid Cust Fcst '!$AC$40)</f>
        <v>1430.6991362897752</v>
      </c>
      <c r="AB39" s="318">
        <f>IF(SUM(AB7:AB37)=0,0,SUM(AB7:AB37)/'Resid Cust Fcst '!$AC$40)</f>
        <v>370.3363259841629</v>
      </c>
      <c r="AC39" s="319">
        <f>SUM(Z39:AB39)</f>
        <v>2769.6986272968243</v>
      </c>
    </row>
    <row r="40" spans="1:29">
      <c r="A40" s="55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</row>
    <row r="41" spans="1:29">
      <c r="A41" s="340" t="s">
        <v>102</v>
      </c>
      <c r="B41" s="18"/>
      <c r="C41" s="18"/>
      <c r="D41" s="18"/>
      <c r="E41" s="23">
        <f>IF(SUM(B7:D37)=0,0,SUM(B7:D37)/'Resid Cust Fcst '!W40)-E39</f>
        <v>0</v>
      </c>
      <c r="F41" s="18"/>
      <c r="G41" s="18"/>
      <c r="H41" s="18"/>
      <c r="I41" s="23">
        <f>IF(SUM(F7:H37)=0,0,SUM(F7:H37)/'Resid Cust Fcst '!X40)-I39</f>
        <v>0</v>
      </c>
      <c r="J41" s="18"/>
      <c r="K41" s="18"/>
      <c r="L41" s="18"/>
      <c r="M41" s="23">
        <f>IF(SUM(J7:L37)=0,0,SUM(J7:L37)/'Resid Cust Fcst '!Y40)-M39</f>
        <v>0</v>
      </c>
      <c r="N41" s="18"/>
      <c r="O41" s="18"/>
      <c r="P41" s="18"/>
      <c r="Q41" s="23">
        <f>IF(SUM(N7:P37)=0,0,SUM(N7:P37)/'Resid Cust Fcst '!Z40)-Q39</f>
        <v>0</v>
      </c>
      <c r="R41" s="18"/>
      <c r="S41" s="18"/>
      <c r="T41" s="18"/>
      <c r="U41" s="23">
        <f>IF(SUM(R7:T37)=0,0,SUM(R7:T37)/'Resid Cust Fcst '!AA40)-U39</f>
        <v>0</v>
      </c>
      <c r="V41" s="18"/>
      <c r="W41" s="18"/>
      <c r="X41" s="18"/>
      <c r="Y41" s="23">
        <f>IF(SUM(V7:X37)=0,0,SUM(V7:X37)/'Resid Cust Fcst '!AB40)-Y39</f>
        <v>0</v>
      </c>
      <c r="Z41" s="18"/>
      <c r="AA41" s="18"/>
      <c r="AB41" s="18"/>
      <c r="AC41" s="23">
        <f>IF(SUM(Z7:AB37)=0,0,SUM(Z7:AB37)/'Resid Cust Fcst '!AC40)-AC39</f>
        <v>0</v>
      </c>
    </row>
    <row r="42" spans="1:29">
      <c r="N42" s="56"/>
      <c r="O42" s="56"/>
      <c r="P42" s="56"/>
    </row>
    <row r="43" spans="1:29">
      <c r="N43" s="56"/>
      <c r="O43" s="56"/>
      <c r="P43" s="56"/>
    </row>
    <row r="44" spans="1:29">
      <c r="A44" s="19"/>
      <c r="N44" s="18"/>
      <c r="O44" s="18"/>
      <c r="P44" s="18"/>
    </row>
    <row r="56" spans="1:1">
      <c r="A56" s="19"/>
    </row>
  </sheetData>
  <mergeCells count="9">
    <mergeCell ref="A1:Y1"/>
    <mergeCell ref="B2:U2"/>
    <mergeCell ref="V2:Y2"/>
    <mergeCell ref="Z2:AC2"/>
    <mergeCell ref="B3:E3"/>
    <mergeCell ref="F3:I3"/>
    <mergeCell ref="J3:M3"/>
    <mergeCell ref="N3:Q3"/>
    <mergeCell ref="R3:U3"/>
  </mergeCells>
  <printOptions horizontalCentered="1"/>
  <pageMargins left="0.75" right="0.75" top="1" bottom="1" header="0.5" footer="0.5"/>
  <pageSetup scale="40" orientation="portrait" r:id="rId1"/>
  <headerFooter alignWithMargins="0">
    <oddFooter>&amp;L&amp;F
&amp;A&amp;R&amp;P of &amp;N</oddFooter>
  </headerFooter>
  <colBreaks count="1" manualBreakCount="1">
    <brk id="17" max="38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2">
    <tabColor rgb="FFC00000"/>
  </sheetPr>
  <dimension ref="A1:AC56"/>
  <sheetViews>
    <sheetView zoomScaleNormal="100" workbookViewId="0">
      <selection activeCell="D17" sqref="D17"/>
    </sheetView>
  </sheetViews>
  <sheetFormatPr defaultRowHeight="12.75"/>
  <cols>
    <col min="1" max="1" width="39" customWidth="1"/>
    <col min="2" max="2" width="12.85546875" bestFit="1" customWidth="1"/>
    <col min="3" max="3" width="11.28515625" bestFit="1" customWidth="1"/>
    <col min="4" max="4" width="12.28515625" bestFit="1" customWidth="1"/>
    <col min="5" max="5" width="9.28515625" bestFit="1" customWidth="1"/>
    <col min="6" max="6" width="12.85546875" bestFit="1" customWidth="1"/>
    <col min="7" max="7" width="11.28515625" bestFit="1" customWidth="1"/>
    <col min="8" max="8" width="10.28515625" bestFit="1" customWidth="1"/>
    <col min="9" max="9" width="11.28515625" bestFit="1" customWidth="1"/>
    <col min="10" max="10" width="12.85546875" customWidth="1"/>
    <col min="11" max="11" width="12.28515625" customWidth="1"/>
    <col min="12" max="12" width="12.28515625" bestFit="1" customWidth="1"/>
    <col min="13" max="13" width="10.28515625" bestFit="1" customWidth="1"/>
    <col min="14" max="14" width="12.85546875" customWidth="1"/>
    <col min="15" max="15" width="10" customWidth="1"/>
    <col min="16" max="17" width="10.28515625" bestFit="1" customWidth="1"/>
    <col min="18" max="18" width="12.85546875" bestFit="1" customWidth="1"/>
    <col min="19" max="20" width="12.28515625" bestFit="1" customWidth="1"/>
    <col min="21" max="21" width="11.28515625" bestFit="1" customWidth="1"/>
    <col min="22" max="22" width="12.85546875" bestFit="1" customWidth="1"/>
    <col min="23" max="25" width="10.28515625" customWidth="1"/>
    <col min="26" max="29" width="13.85546875" customWidth="1"/>
  </cols>
  <sheetData>
    <row r="1" spans="1:29" ht="18.75" thickBot="1">
      <c r="A1" s="841" t="s">
        <v>90</v>
      </c>
      <c r="B1" s="841"/>
      <c r="C1" s="841"/>
      <c r="D1" s="841"/>
      <c r="E1" s="841"/>
      <c r="F1" s="841"/>
      <c r="G1" s="841"/>
      <c r="H1" s="841"/>
      <c r="I1" s="841"/>
      <c r="J1" s="841"/>
      <c r="K1" s="841"/>
      <c r="L1" s="841"/>
      <c r="M1" s="841"/>
      <c r="N1" s="841"/>
      <c r="O1" s="841"/>
      <c r="P1" s="841"/>
      <c r="Q1" s="841"/>
      <c r="R1" s="841"/>
      <c r="S1" s="841"/>
      <c r="T1" s="841"/>
      <c r="U1" s="841"/>
      <c r="V1" s="841"/>
      <c r="W1" s="841"/>
      <c r="X1" s="841"/>
      <c r="Y1" s="841"/>
    </row>
    <row r="2" spans="1:29" ht="13.5" thickBot="1">
      <c r="A2" s="131"/>
      <c r="B2" s="834" t="s">
        <v>132</v>
      </c>
      <c r="C2" s="835"/>
      <c r="D2" s="835"/>
      <c r="E2" s="835"/>
      <c r="F2" s="835"/>
      <c r="G2" s="835"/>
      <c r="H2" s="835"/>
      <c r="I2" s="835"/>
      <c r="J2" s="835"/>
      <c r="K2" s="835"/>
      <c r="L2" s="835"/>
      <c r="M2" s="835"/>
      <c r="N2" s="835"/>
      <c r="O2" s="835"/>
      <c r="P2" s="835"/>
      <c r="Q2" s="835"/>
      <c r="R2" s="835"/>
      <c r="S2" s="835"/>
      <c r="T2" s="835"/>
      <c r="U2" s="837"/>
      <c r="V2" s="834" t="s">
        <v>133</v>
      </c>
      <c r="W2" s="835"/>
      <c r="X2" s="835"/>
      <c r="Y2" s="837"/>
      <c r="Z2" s="834" t="s">
        <v>150</v>
      </c>
      <c r="AA2" s="835"/>
      <c r="AB2" s="835"/>
      <c r="AC2" s="837"/>
    </row>
    <row r="3" spans="1:29">
      <c r="A3" s="196"/>
      <c r="B3" s="842" t="s">
        <v>127</v>
      </c>
      <c r="C3" s="843"/>
      <c r="D3" s="843"/>
      <c r="E3" s="844"/>
      <c r="F3" s="842" t="s">
        <v>114</v>
      </c>
      <c r="G3" s="843"/>
      <c r="H3" s="843"/>
      <c r="I3" s="844"/>
      <c r="J3" s="842" t="s">
        <v>115</v>
      </c>
      <c r="K3" s="843"/>
      <c r="L3" s="843"/>
      <c r="M3" s="844"/>
      <c r="N3" s="842" t="s">
        <v>113</v>
      </c>
      <c r="O3" s="843"/>
      <c r="P3" s="843"/>
      <c r="Q3" s="844"/>
      <c r="R3" s="836" t="s">
        <v>138</v>
      </c>
      <c r="S3" s="843"/>
      <c r="T3" s="843"/>
      <c r="U3" s="844"/>
      <c r="V3" s="345"/>
      <c r="W3" s="346"/>
      <c r="X3" s="346"/>
      <c r="Y3" s="347"/>
      <c r="Z3" s="345"/>
      <c r="AA3" s="346"/>
      <c r="AB3" s="346"/>
      <c r="AC3" s="347"/>
    </row>
    <row r="4" spans="1:29" ht="13.5" thickBot="1">
      <c r="A4" s="102" t="s">
        <v>4</v>
      </c>
      <c r="B4" s="348" t="s">
        <v>36</v>
      </c>
      <c r="C4" s="349" t="s">
        <v>37</v>
      </c>
      <c r="D4" s="349" t="s">
        <v>38</v>
      </c>
      <c r="E4" s="350" t="s">
        <v>41</v>
      </c>
      <c r="F4" s="348" t="s">
        <v>36</v>
      </c>
      <c r="G4" s="349" t="s">
        <v>37</v>
      </c>
      <c r="H4" s="349" t="s">
        <v>38</v>
      </c>
      <c r="I4" s="350" t="s">
        <v>41</v>
      </c>
      <c r="J4" s="348" t="s">
        <v>36</v>
      </c>
      <c r="K4" s="349" t="s">
        <v>37</v>
      </c>
      <c r="L4" s="349" t="s">
        <v>40</v>
      </c>
      <c r="M4" s="350" t="s">
        <v>41</v>
      </c>
      <c r="N4" s="348" t="s">
        <v>36</v>
      </c>
      <c r="O4" s="349" t="s">
        <v>37</v>
      </c>
      <c r="P4" s="349" t="s">
        <v>40</v>
      </c>
      <c r="Q4" s="350" t="s">
        <v>41</v>
      </c>
      <c r="R4" s="348" t="s">
        <v>36</v>
      </c>
      <c r="S4" s="349" t="s">
        <v>37</v>
      </c>
      <c r="T4" s="349" t="s">
        <v>38</v>
      </c>
      <c r="U4" s="350" t="s">
        <v>41</v>
      </c>
      <c r="V4" s="348" t="s">
        <v>36</v>
      </c>
      <c r="W4" s="349" t="s">
        <v>37</v>
      </c>
      <c r="X4" s="349" t="s">
        <v>40</v>
      </c>
      <c r="Y4" s="350" t="s">
        <v>41</v>
      </c>
      <c r="Z4" s="348" t="s">
        <v>36</v>
      </c>
      <c r="AA4" s="349" t="s">
        <v>37</v>
      </c>
      <c r="AB4" s="349" t="s">
        <v>40</v>
      </c>
      <c r="AC4" s="350" t="s">
        <v>41</v>
      </c>
    </row>
    <row r="5" spans="1:29">
      <c r="A5" s="133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5" t="s">
        <v>42</v>
      </c>
      <c r="K5" s="6" t="s">
        <v>42</v>
      </c>
      <c r="L5" s="6" t="s">
        <v>42</v>
      </c>
      <c r="M5" s="7" t="s">
        <v>43</v>
      </c>
      <c r="N5" s="5" t="s">
        <v>42</v>
      </c>
      <c r="O5" s="6" t="s">
        <v>42</v>
      </c>
      <c r="P5" s="6" t="s">
        <v>42</v>
      </c>
      <c r="Q5" s="7" t="s">
        <v>43</v>
      </c>
      <c r="R5" s="5" t="s">
        <v>42</v>
      </c>
      <c r="S5" s="6" t="s">
        <v>42</v>
      </c>
      <c r="T5" s="6" t="s">
        <v>42</v>
      </c>
      <c r="U5" s="7" t="s">
        <v>43</v>
      </c>
      <c r="V5" s="132" t="s">
        <v>42</v>
      </c>
      <c r="W5" s="8" t="s">
        <v>42</v>
      </c>
      <c r="X5" s="8" t="s">
        <v>42</v>
      </c>
      <c r="Y5" s="9" t="s">
        <v>43</v>
      </c>
      <c r="Z5" s="132" t="s">
        <v>42</v>
      </c>
      <c r="AA5" s="8" t="s">
        <v>42</v>
      </c>
      <c r="AB5" s="8" t="s">
        <v>42</v>
      </c>
      <c r="AC5" s="9" t="s">
        <v>43</v>
      </c>
    </row>
    <row r="6" spans="1:29">
      <c r="A6" s="112"/>
      <c r="B6" s="132"/>
      <c r="C6" s="8"/>
      <c r="D6" s="8"/>
      <c r="E6" s="9"/>
      <c r="F6" s="132"/>
      <c r="G6" s="8"/>
      <c r="H6" s="8"/>
      <c r="I6" s="9"/>
      <c r="J6" s="132"/>
      <c r="K6" s="8"/>
      <c r="L6" s="8"/>
      <c r="M6" s="9"/>
      <c r="N6" s="132"/>
      <c r="O6" s="8"/>
      <c r="P6" s="8"/>
      <c r="Q6" s="9"/>
      <c r="R6" s="132"/>
      <c r="S6" s="8"/>
      <c r="T6" s="8"/>
      <c r="U6" s="9"/>
      <c r="V6" s="132"/>
      <c r="W6" s="8"/>
      <c r="X6" s="8"/>
      <c r="Y6" s="9"/>
      <c r="Z6" s="132"/>
      <c r="AA6" s="8"/>
      <c r="AB6" s="8"/>
      <c r="AC6" s="9"/>
    </row>
    <row r="7" spans="1:29">
      <c r="A7" s="153" t="s">
        <v>5</v>
      </c>
      <c r="B7" s="137">
        <f>'Resid Cust Fcst '!$AD8*'Resid TSM UC Adj'!B7</f>
        <v>245.39104820707465</v>
      </c>
      <c r="C7" s="23">
        <f>'Resid Cust Fcst '!$AD8*'Resid TSM UC Adj'!C7</f>
        <v>138.7130210066349</v>
      </c>
      <c r="D7" s="23">
        <f>'Resid Cust Fcst '!$AD8*'Resid TSM UC Adj'!D7</f>
        <v>246.24333484162895</v>
      </c>
      <c r="E7" s="45">
        <f>IF(SUM(B7:D7)=0,0,SUM(B7:D7)/'Resid Cust Fcst '!AD8)</f>
        <v>630.34740405533853</v>
      </c>
      <c r="F7" s="137">
        <f>'Resid Cust Fcst '!$AE8*'Resid TSM UC Adj'!F7</f>
        <v>0</v>
      </c>
      <c r="G7" s="23">
        <f>'Resid Cust Fcst '!$AE8*'Resid TSM UC Adj'!G7</f>
        <v>0</v>
      </c>
      <c r="H7" s="23">
        <f>'Resid Cust Fcst '!$AE8*'Resid TSM UC Adj'!H7</f>
        <v>0</v>
      </c>
      <c r="I7" s="45">
        <f>IF(SUM(F7:H7)=0,0,SUM(F7:H7)/'Resid Cust Fcst '!AE8)</f>
        <v>0</v>
      </c>
      <c r="J7" s="137">
        <f>'Resid Cust Fcst '!$AF8*'Resid TSM UC Adj'!J7</f>
        <v>0</v>
      </c>
      <c r="K7" s="23">
        <f>'Resid Cust Fcst '!$AF8*'Resid TSM UC Adj'!K7</f>
        <v>0</v>
      </c>
      <c r="L7" s="23">
        <f>'Resid Cust Fcst '!$AF8*'Resid TSM UC Adj'!L7</f>
        <v>0</v>
      </c>
      <c r="M7" s="45">
        <f>IF(SUM(J7:L7)=0,0,SUM(J7:L7)/'Resid Cust Fcst '!AF8)</f>
        <v>0</v>
      </c>
      <c r="N7" s="137">
        <f>'Resid Cust Fcst '!$AG8*'Resid TSM UC Adj'!N7</f>
        <v>0</v>
      </c>
      <c r="O7" s="23">
        <f>'Resid Cust Fcst '!$AG8*'Resid TSM UC Adj'!O7</f>
        <v>0</v>
      </c>
      <c r="P7" s="23">
        <f>'Resid Cust Fcst '!$AG8*'Resid TSM UC Adj'!P7</f>
        <v>0</v>
      </c>
      <c r="Q7" s="45">
        <f>IF(SUM(N7:P7)=0,0,SUM(N7:P7)/'Resid Cust Fcst '!AG8)</f>
        <v>0</v>
      </c>
      <c r="R7" s="137">
        <f>B7+F7+J7+N7</f>
        <v>245.39104820707465</v>
      </c>
      <c r="S7" s="23">
        <f t="shared" ref="S7:T22" si="0">C7+G7+K7+O7</f>
        <v>138.7130210066349</v>
      </c>
      <c r="T7" s="23">
        <f t="shared" si="0"/>
        <v>246.24333484162895</v>
      </c>
      <c r="U7" s="45">
        <f>IF(SUM(R7:T7)=0,0,SUM(R7:T7)/'Resid Cust Fcst '!AH8)</f>
        <v>630.34740405533853</v>
      </c>
      <c r="V7" s="137">
        <f>'Resid Cust Fcst '!$AI8*'Resid TSM UC Adj'!R7</f>
        <v>0</v>
      </c>
      <c r="W7" s="23">
        <f>'Resid Cust Fcst '!$AI8*'Resid TSM UC Adj'!S7</f>
        <v>0</v>
      </c>
      <c r="X7" s="23">
        <f>'Resid Cust Fcst '!$AI8*'Resid TSM UC Adj'!T7</f>
        <v>0</v>
      </c>
      <c r="Y7" s="45">
        <f>IF(SUM(V7:X7)=0,0,SUM(V7:X7)/'Resid Cust Fcst '!AI8)</f>
        <v>0</v>
      </c>
      <c r="Z7" s="137">
        <f>R7+V7</f>
        <v>245.39104820707465</v>
      </c>
      <c r="AA7" s="23">
        <f t="shared" ref="AA7:AB22" si="1">S7+W7</f>
        <v>138.7130210066349</v>
      </c>
      <c r="AB7" s="23">
        <f t="shared" si="1"/>
        <v>246.24333484162895</v>
      </c>
      <c r="AC7" s="45">
        <f>IF(SUM(Z7:AB7)=0,0,SUM(Z7:AB7)/'Resid Cust Fcst '!AJ8)</f>
        <v>630.34740405533853</v>
      </c>
    </row>
    <row r="8" spans="1:29">
      <c r="A8" s="155" t="s">
        <v>6</v>
      </c>
      <c r="B8" s="137">
        <f>'Resid Cust Fcst '!$AD9*'Resid TSM UC Adj'!B8</f>
        <v>771.22900865080612</v>
      </c>
      <c r="C8" s="23">
        <f>'Resid Cust Fcst '!$AD9*'Resid TSM UC Adj'!C8</f>
        <v>138.7130210066349</v>
      </c>
      <c r="D8" s="23">
        <f>'Resid Cust Fcst '!$AD9*'Resid TSM UC Adj'!D8</f>
        <v>246.24333484162895</v>
      </c>
      <c r="E8" s="45">
        <f>IF(SUM(B8:D8)=0,0,SUM(B8:D8)/'Resid Cust Fcst '!AD9)</f>
        <v>1156.1853644990699</v>
      </c>
      <c r="F8" s="137">
        <f>'Resid Cust Fcst '!$AE9*'Resid TSM UC Adj'!F8</f>
        <v>0</v>
      </c>
      <c r="G8" s="23">
        <f>'Resid Cust Fcst '!$AE9*'Resid TSM UC Adj'!G8</f>
        <v>0</v>
      </c>
      <c r="H8" s="23">
        <f>'Resid Cust Fcst '!$AE9*'Resid TSM UC Adj'!H8</f>
        <v>0</v>
      </c>
      <c r="I8" s="45">
        <f>IF(SUM(F8:H8)=0,0,SUM(F8:H8)/'Resid Cust Fcst '!AE9)</f>
        <v>0</v>
      </c>
      <c r="J8" s="137">
        <f>'Resid Cust Fcst '!$AF9*'Resid TSM UC Adj'!J8</f>
        <v>0</v>
      </c>
      <c r="K8" s="23">
        <f>'Resid Cust Fcst '!$AF9*'Resid TSM UC Adj'!K8</f>
        <v>0</v>
      </c>
      <c r="L8" s="23">
        <f>'Resid Cust Fcst '!$AF9*'Resid TSM UC Adj'!L8</f>
        <v>0</v>
      </c>
      <c r="M8" s="45">
        <f>IF(SUM(J8:L8)=0,0,SUM(J8:L8)/'Resid Cust Fcst '!AF9)</f>
        <v>0</v>
      </c>
      <c r="N8" s="137">
        <f>'Resid Cust Fcst '!$AG9*'Resid TSM UC Adj'!N8</f>
        <v>0</v>
      </c>
      <c r="O8" s="23">
        <f>'Resid Cust Fcst '!$AG9*'Resid TSM UC Adj'!O8</f>
        <v>0</v>
      </c>
      <c r="P8" s="23">
        <f>'Resid Cust Fcst '!$AG9*'Resid TSM UC Adj'!P8</f>
        <v>0</v>
      </c>
      <c r="Q8" s="45">
        <f>IF(SUM(N8:P8)=0,0,SUM(N8:P8)/'Resid Cust Fcst '!AG9)</f>
        <v>0</v>
      </c>
      <c r="R8" s="137">
        <f t="shared" ref="R8:R37" si="2">B8+F8+J8+N8</f>
        <v>771.22900865080612</v>
      </c>
      <c r="S8" s="23">
        <f t="shared" si="0"/>
        <v>138.7130210066349</v>
      </c>
      <c r="T8" s="23">
        <f t="shared" si="0"/>
        <v>246.24333484162895</v>
      </c>
      <c r="U8" s="45">
        <f>IF(SUM(R8:T8)=0,0,SUM(R8:T8)/'Resid Cust Fcst '!AH9)</f>
        <v>1156.1853644990699</v>
      </c>
      <c r="V8" s="137">
        <f>'Resid Cust Fcst '!$AI9*'Resid TSM UC Adj'!R8</f>
        <v>0</v>
      </c>
      <c r="W8" s="23">
        <f>'Resid Cust Fcst '!$AI9*'Resid TSM UC Adj'!S8</f>
        <v>0</v>
      </c>
      <c r="X8" s="23">
        <f>'Resid Cust Fcst '!$AI9*'Resid TSM UC Adj'!T8</f>
        <v>0</v>
      </c>
      <c r="Y8" s="45">
        <f>IF(SUM(V8:X8)=0,0,SUM(V8:X8)/'Resid Cust Fcst '!AI9)</f>
        <v>0</v>
      </c>
      <c r="Z8" s="137">
        <f t="shared" ref="Z8:Z37" si="3">R8+V8</f>
        <v>771.22900865080612</v>
      </c>
      <c r="AA8" s="23">
        <f t="shared" si="1"/>
        <v>138.7130210066349</v>
      </c>
      <c r="AB8" s="23">
        <f t="shared" si="1"/>
        <v>246.24333484162895</v>
      </c>
      <c r="AC8" s="45">
        <f>IF(SUM(Z8:AB8)=0,0,SUM(Z8:AB8)/'Resid Cust Fcst '!AJ9)</f>
        <v>1156.1853644990699</v>
      </c>
    </row>
    <row r="9" spans="1:29">
      <c r="A9" s="155" t="s">
        <v>7</v>
      </c>
      <c r="B9" s="137">
        <f>'Resid Cust Fcst '!$AD10*'Resid TSM UC Adj'!B9</f>
        <v>0</v>
      </c>
      <c r="C9" s="23">
        <f>'Resid Cust Fcst '!$AD10*'Resid TSM UC Adj'!C9</f>
        <v>0</v>
      </c>
      <c r="D9" s="23">
        <f>'Resid Cust Fcst '!$AD10*'Resid TSM UC Adj'!D9</f>
        <v>0</v>
      </c>
      <c r="E9" s="45">
        <f>IF(SUM(B9:D9)=0,0,SUM(B9:D9)/'Resid Cust Fcst '!AD10)</f>
        <v>0</v>
      </c>
      <c r="F9" s="137">
        <f>'Resid Cust Fcst '!$AE10*'Resid TSM UC Adj'!F9</f>
        <v>0</v>
      </c>
      <c r="G9" s="23">
        <f>'Resid Cust Fcst '!$AE10*'Resid TSM UC Adj'!G9</f>
        <v>0</v>
      </c>
      <c r="H9" s="23">
        <f>'Resid Cust Fcst '!$AE10*'Resid TSM UC Adj'!H9</f>
        <v>0</v>
      </c>
      <c r="I9" s="45">
        <f>IF(SUM(F9:H9)=0,0,SUM(F9:H9)/'Resid Cust Fcst '!AE10)</f>
        <v>0</v>
      </c>
      <c r="J9" s="137">
        <f>'Resid Cust Fcst '!$AF10*'Resid TSM UC Adj'!J9</f>
        <v>0</v>
      </c>
      <c r="K9" s="23">
        <f>'Resid Cust Fcst '!$AF10*'Resid TSM UC Adj'!K9</f>
        <v>0</v>
      </c>
      <c r="L9" s="23">
        <f>'Resid Cust Fcst '!$AF10*'Resid TSM UC Adj'!L9</f>
        <v>0</v>
      </c>
      <c r="M9" s="45">
        <f>IF(SUM(J9:L9)=0,0,SUM(J9:L9)/'Resid Cust Fcst '!AF10)</f>
        <v>0</v>
      </c>
      <c r="N9" s="137">
        <f>'Resid Cust Fcst '!$AG10*'Resid TSM UC Adj'!N9</f>
        <v>0</v>
      </c>
      <c r="O9" s="23">
        <f>'Resid Cust Fcst '!$AG10*'Resid TSM UC Adj'!O9</f>
        <v>0</v>
      </c>
      <c r="P9" s="23">
        <f>'Resid Cust Fcst '!$AG10*'Resid TSM UC Adj'!P9</f>
        <v>0</v>
      </c>
      <c r="Q9" s="45">
        <f>IF(SUM(N9:P9)=0,0,SUM(N9:P9)/'Resid Cust Fcst '!AG10)</f>
        <v>0</v>
      </c>
      <c r="R9" s="137">
        <f t="shared" si="2"/>
        <v>0</v>
      </c>
      <c r="S9" s="23">
        <f t="shared" si="0"/>
        <v>0</v>
      </c>
      <c r="T9" s="23">
        <f t="shared" si="0"/>
        <v>0</v>
      </c>
      <c r="U9" s="45">
        <f>IF(SUM(R9:T9)=0,0,SUM(R9:T9)/'Resid Cust Fcst '!AH10)</f>
        <v>0</v>
      </c>
      <c r="V9" s="137">
        <f>'Resid Cust Fcst '!$AI10*'Resid TSM UC Adj'!R9</f>
        <v>0</v>
      </c>
      <c r="W9" s="23">
        <f>'Resid Cust Fcst '!$AI10*'Resid TSM UC Adj'!S9</f>
        <v>0</v>
      </c>
      <c r="X9" s="23">
        <f>'Resid Cust Fcst '!$AI10*'Resid TSM UC Adj'!T9</f>
        <v>0</v>
      </c>
      <c r="Y9" s="45">
        <f>IF(SUM(V9:X9)=0,0,SUM(V9:X9)/'Resid Cust Fcst '!AI10)</f>
        <v>0</v>
      </c>
      <c r="Z9" s="137">
        <f t="shared" si="3"/>
        <v>0</v>
      </c>
      <c r="AA9" s="23">
        <f t="shared" si="1"/>
        <v>0</v>
      </c>
      <c r="AB9" s="23">
        <f t="shared" si="1"/>
        <v>0</v>
      </c>
      <c r="AC9" s="45">
        <f>IF(SUM(Z9:AB9)=0,0,SUM(Z9:AB9)/'Resid Cust Fcst '!AJ10)</f>
        <v>0</v>
      </c>
    </row>
    <row r="10" spans="1:29" s="58" customFormat="1">
      <c r="A10" s="288" t="s">
        <v>124</v>
      </c>
      <c r="B10" s="137">
        <f>'Resid Cust Fcst '!$AD11*'Resid TSM UC Adj'!B10</f>
        <v>2699.3015302778213</v>
      </c>
      <c r="C10" s="23">
        <f>'Resid Cust Fcst '!$AD11*'Resid TSM UC Adj'!C10</f>
        <v>427.4635963581095</v>
      </c>
      <c r="D10" s="23">
        <f>'Resid Cust Fcst '!$AD11*'Resid TSM UC Adj'!D10</f>
        <v>492.4866696832579</v>
      </c>
      <c r="E10" s="45">
        <f>IF(SUM(B10:D10)=0,0,SUM(B10:D10)/'Resid Cust Fcst '!AD11)</f>
        <v>1809.6258981595943</v>
      </c>
      <c r="F10" s="137">
        <f>'Resid Cust Fcst '!$AE11*'Resid TSM UC Adj'!F10</f>
        <v>3959.0687493427631</v>
      </c>
      <c r="G10" s="23">
        <f>'Resid Cust Fcst '!$AE11*'Resid TSM UC Adj'!G10</f>
        <v>1776.5712506572356</v>
      </c>
      <c r="H10" s="23">
        <f>'Resid Cust Fcst '!$AE11*'Resid TSM UC Adj'!H10</f>
        <v>746.36</v>
      </c>
      <c r="I10" s="45">
        <f>IF(SUM(F10:H10)=0,0,SUM(F10:H10)/'Resid Cust Fcst '!AE11)</f>
        <v>3240.9999999999991</v>
      </c>
      <c r="J10" s="137">
        <f>'Resid Cust Fcst '!$AF11*'Resid TSM UC Adj'!J10</f>
        <v>0</v>
      </c>
      <c r="K10" s="23">
        <f>'Resid Cust Fcst '!$AF11*'Resid TSM UC Adj'!K10</f>
        <v>0</v>
      </c>
      <c r="L10" s="23">
        <f>'Resid Cust Fcst '!$AF11*'Resid TSM UC Adj'!L10</f>
        <v>0</v>
      </c>
      <c r="M10" s="45">
        <f>IF(SUM(J10:L10)=0,0,SUM(J10:L10)/'Resid Cust Fcst '!AF11)</f>
        <v>0</v>
      </c>
      <c r="N10" s="137">
        <f>'Resid Cust Fcst '!$AG11*'Resid TSM UC Adj'!N10</f>
        <v>0</v>
      </c>
      <c r="O10" s="23">
        <f>'Resid Cust Fcst '!$AG11*'Resid TSM UC Adj'!O10</f>
        <v>0</v>
      </c>
      <c r="P10" s="23">
        <f>'Resid Cust Fcst '!$AG11*'Resid TSM UC Adj'!P10</f>
        <v>0</v>
      </c>
      <c r="Q10" s="45">
        <f>IF(SUM(N10:P10)=0,0,SUM(N10:P10)/'Resid Cust Fcst '!AG11)</f>
        <v>0</v>
      </c>
      <c r="R10" s="137">
        <f t="shared" si="2"/>
        <v>6658.3702796205844</v>
      </c>
      <c r="S10" s="23">
        <f t="shared" si="0"/>
        <v>2204.0348470153449</v>
      </c>
      <c r="T10" s="23">
        <f t="shared" si="0"/>
        <v>1238.8466696832579</v>
      </c>
      <c r="U10" s="45">
        <f>IF(SUM(R10:T10)=0,0,SUM(R10:T10)/'Resid Cust Fcst '!AH11)</f>
        <v>2525.3129490797969</v>
      </c>
      <c r="V10" s="137">
        <f>'Resid Cust Fcst '!$AI11*'Resid TSM UC Adj'!R10</f>
        <v>0</v>
      </c>
      <c r="W10" s="23">
        <f>'Resid Cust Fcst '!$AI11*'Resid TSM UC Adj'!S10</f>
        <v>0</v>
      </c>
      <c r="X10" s="23">
        <f>'Resid Cust Fcst '!$AI11*'Resid TSM UC Adj'!T10</f>
        <v>0</v>
      </c>
      <c r="Y10" s="45">
        <f>IF(SUM(V10:X10)=0,0,SUM(V10:X10)/'Resid Cust Fcst '!AI11)</f>
        <v>0</v>
      </c>
      <c r="Z10" s="137">
        <f t="shared" si="3"/>
        <v>6658.3702796205844</v>
      </c>
      <c r="AA10" s="23">
        <f t="shared" si="1"/>
        <v>2204.0348470153449</v>
      </c>
      <c r="AB10" s="23">
        <f t="shared" si="1"/>
        <v>1238.8466696832579</v>
      </c>
      <c r="AC10" s="45">
        <f>IF(SUM(Z10:AB10)=0,0,SUM(Z10:AB10)/'Resid Cust Fcst '!AJ11)</f>
        <v>2525.3129490797969</v>
      </c>
    </row>
    <row r="11" spans="1:29">
      <c r="A11" s="153" t="s">
        <v>116</v>
      </c>
      <c r="B11" s="137">
        <f>'Resid Cust Fcst '!$AD12*'Resid TSM UC Adj'!B11</f>
        <v>6748.2538256945536</v>
      </c>
      <c r="C11" s="23">
        <f>'Resid Cust Fcst '!$AD12*'Resid TSM UC Adj'!C11</f>
        <v>1068.6589908952737</v>
      </c>
      <c r="D11" s="23">
        <f>'Resid Cust Fcst '!$AD12*'Resid TSM UC Adj'!D11</f>
        <v>1231.2166742081447</v>
      </c>
      <c r="E11" s="45">
        <f>IF(SUM(B11:D11)=0,0,SUM(B11:D11)/'Resid Cust Fcst '!AD12)</f>
        <v>1809.6258981595943</v>
      </c>
      <c r="F11" s="137">
        <f>'Resid Cust Fcst '!$AE12*'Resid TSM UC Adj'!F11</f>
        <v>0</v>
      </c>
      <c r="G11" s="23">
        <f>'Resid Cust Fcst '!$AE12*'Resid TSM UC Adj'!G11</f>
        <v>0</v>
      </c>
      <c r="H11" s="23">
        <f>'Resid Cust Fcst '!$AE12*'Resid TSM UC Adj'!H11</f>
        <v>0</v>
      </c>
      <c r="I11" s="45">
        <f>IF(SUM(F11:H11)=0,0,SUM(F11:H11)/'Resid Cust Fcst '!AE12)</f>
        <v>0</v>
      </c>
      <c r="J11" s="137">
        <f>'Resid Cust Fcst '!$AF12*'Resid TSM UC Adj'!J11</f>
        <v>0</v>
      </c>
      <c r="K11" s="23">
        <f>'Resid Cust Fcst '!$AF12*'Resid TSM UC Adj'!K11</f>
        <v>0</v>
      </c>
      <c r="L11" s="23">
        <f>'Resid Cust Fcst '!$AF12*'Resid TSM UC Adj'!L11</f>
        <v>0</v>
      </c>
      <c r="M11" s="45">
        <f>IF(SUM(J11:L11)=0,0,SUM(J11:L11)/'Resid Cust Fcst '!AF12)</f>
        <v>0</v>
      </c>
      <c r="N11" s="137">
        <f>'Resid Cust Fcst '!$AG12*'Resid TSM UC Adj'!N11</f>
        <v>0</v>
      </c>
      <c r="O11" s="23">
        <f>'Resid Cust Fcst '!$AG12*'Resid TSM UC Adj'!O11</f>
        <v>0</v>
      </c>
      <c r="P11" s="23">
        <f>'Resid Cust Fcst '!$AG12*'Resid TSM UC Adj'!P11</f>
        <v>0</v>
      </c>
      <c r="Q11" s="45">
        <f>IF(SUM(N11:P11)=0,0,SUM(N11:P11)/'Resid Cust Fcst '!AG12)</f>
        <v>0</v>
      </c>
      <c r="R11" s="137">
        <f t="shared" si="2"/>
        <v>6748.2538256945536</v>
      </c>
      <c r="S11" s="23">
        <f t="shared" si="0"/>
        <v>1068.6589908952737</v>
      </c>
      <c r="T11" s="23">
        <f t="shared" si="0"/>
        <v>1231.2166742081447</v>
      </c>
      <c r="U11" s="45">
        <f>IF(SUM(R11:T11)=0,0,SUM(R11:T11)/'Resid Cust Fcst '!AH12)</f>
        <v>1809.6258981595943</v>
      </c>
      <c r="V11" s="137">
        <f>'Resid Cust Fcst '!$AI12*'Resid TSM UC Adj'!R11</f>
        <v>0</v>
      </c>
      <c r="W11" s="23">
        <f>'Resid Cust Fcst '!$AI12*'Resid TSM UC Adj'!S11</f>
        <v>0</v>
      </c>
      <c r="X11" s="23">
        <f>'Resid Cust Fcst '!$AI12*'Resid TSM UC Adj'!T11</f>
        <v>0</v>
      </c>
      <c r="Y11" s="45">
        <f>IF(SUM(V11:X11)=0,0,SUM(V11:X11)/'Resid Cust Fcst '!AI12)</f>
        <v>0</v>
      </c>
      <c r="Z11" s="137">
        <f t="shared" si="3"/>
        <v>6748.2538256945536</v>
      </c>
      <c r="AA11" s="23">
        <f t="shared" si="1"/>
        <v>1068.6589908952737</v>
      </c>
      <c r="AB11" s="23">
        <f t="shared" si="1"/>
        <v>1231.2166742081447</v>
      </c>
      <c r="AC11" s="45">
        <f>IF(SUM(Z11:AB11)=0,0,SUM(Z11:AB11)/'Resid Cust Fcst '!AJ12)</f>
        <v>1809.6258981595943</v>
      </c>
    </row>
    <row r="12" spans="1:29">
      <c r="A12" s="153" t="s">
        <v>8</v>
      </c>
      <c r="B12" s="137">
        <f>'Resid Cust Fcst '!$AD13*'Resid TSM UC Adj'!B12</f>
        <v>18850.224371503202</v>
      </c>
      <c r="C12" s="23">
        <f>'Resid Cust Fcst '!$AD13*'Resid TSM UC Adj'!C12</f>
        <v>6698.6159917589794</v>
      </c>
      <c r="D12" s="23">
        <f>'Resid Cust Fcst '!$AD13*'Resid TSM UC Adj'!D12</f>
        <v>3201.1633529411765</v>
      </c>
      <c r="E12" s="45">
        <f>IF(SUM(B12:D12)=0,0,SUM(B12:D12)/'Resid Cust Fcst '!AD13)</f>
        <v>2211.5387474002582</v>
      </c>
      <c r="F12" s="137">
        <f>'Resid Cust Fcst '!$AE13*'Resid TSM UC Adj'!F12</f>
        <v>0</v>
      </c>
      <c r="G12" s="23">
        <f>'Resid Cust Fcst '!$AE13*'Resid TSM UC Adj'!G12</f>
        <v>0</v>
      </c>
      <c r="H12" s="23">
        <f>'Resid Cust Fcst '!$AE13*'Resid TSM UC Adj'!H12</f>
        <v>0</v>
      </c>
      <c r="I12" s="45">
        <f>IF(SUM(F12:H12)=0,0,SUM(F12:H12)/'Resid Cust Fcst '!AE13)</f>
        <v>0</v>
      </c>
      <c r="J12" s="137">
        <f>'Resid Cust Fcst '!$AF13*'Resid TSM UC Adj'!J12</f>
        <v>0</v>
      </c>
      <c r="K12" s="23">
        <f>'Resid Cust Fcst '!$AF13*'Resid TSM UC Adj'!K12</f>
        <v>0</v>
      </c>
      <c r="L12" s="23">
        <f>'Resid Cust Fcst '!$AF13*'Resid TSM UC Adj'!L12</f>
        <v>0</v>
      </c>
      <c r="M12" s="45">
        <f>IF(SUM(J12:L12)=0,0,SUM(J12:L12)/'Resid Cust Fcst '!AF13)</f>
        <v>0</v>
      </c>
      <c r="N12" s="137">
        <f>'Resid Cust Fcst '!$AG13*'Resid TSM UC Adj'!N12</f>
        <v>0</v>
      </c>
      <c r="O12" s="23">
        <f>'Resid Cust Fcst '!$AG13*'Resid TSM UC Adj'!O12</f>
        <v>0</v>
      </c>
      <c r="P12" s="23">
        <f>'Resid Cust Fcst '!$AG13*'Resid TSM UC Adj'!P12</f>
        <v>0</v>
      </c>
      <c r="Q12" s="45">
        <f>IF(SUM(N12:P12)=0,0,SUM(N12:P12)/'Resid Cust Fcst '!AG13)</f>
        <v>0</v>
      </c>
      <c r="R12" s="137">
        <f t="shared" si="2"/>
        <v>18850.224371503202</v>
      </c>
      <c r="S12" s="23">
        <f t="shared" si="0"/>
        <v>6698.6159917589794</v>
      </c>
      <c r="T12" s="23">
        <f t="shared" si="0"/>
        <v>3201.1633529411765</v>
      </c>
      <c r="U12" s="45">
        <f>IF(SUM(R12:T12)=0,0,SUM(R12:T12)/'Resid Cust Fcst '!AH13)</f>
        <v>2211.5387474002582</v>
      </c>
      <c r="V12" s="137">
        <f>'Resid Cust Fcst '!$AI13*'Resid TSM UC Adj'!R12</f>
        <v>0</v>
      </c>
      <c r="W12" s="23">
        <f>'Resid Cust Fcst '!$AI13*'Resid TSM UC Adj'!S12</f>
        <v>0</v>
      </c>
      <c r="X12" s="23">
        <f>'Resid Cust Fcst '!$AI13*'Resid TSM UC Adj'!T12</f>
        <v>0</v>
      </c>
      <c r="Y12" s="45">
        <f>IF(SUM(V12:X12)=0,0,SUM(V12:X12)/'Resid Cust Fcst '!AI13)</f>
        <v>0</v>
      </c>
      <c r="Z12" s="137">
        <f t="shared" si="3"/>
        <v>18850.224371503202</v>
      </c>
      <c r="AA12" s="23">
        <f t="shared" si="1"/>
        <v>6698.6159917589794</v>
      </c>
      <c r="AB12" s="23">
        <f t="shared" si="1"/>
        <v>3201.1633529411765</v>
      </c>
      <c r="AC12" s="45">
        <f>IF(SUM(Z12:AB12)=0,0,SUM(Z12:AB12)/'Resid Cust Fcst '!AJ13)</f>
        <v>2211.5387474002582</v>
      </c>
    </row>
    <row r="13" spans="1:29">
      <c r="A13" s="153" t="s">
        <v>9</v>
      </c>
      <c r="B13" s="137">
        <f>'Resid Cust Fcst '!$AD14*'Resid TSM UC Adj'!B13</f>
        <v>21645.829799699917</v>
      </c>
      <c r="C13" s="23">
        <f>'Resid Cust Fcst '!$AD14*'Resid TSM UC Adj'!C13</f>
        <v>8301.7368518837884</v>
      </c>
      <c r="D13" s="23">
        <f>'Resid Cust Fcst '!$AD14*'Resid TSM UC Adj'!D13</f>
        <v>2462.4333484162894</v>
      </c>
      <c r="E13" s="45">
        <f>IF(SUM(B13:D13)=0,0,SUM(B13:D13)/'Resid Cust Fcst '!AD14)</f>
        <v>3240.9999999999995</v>
      </c>
      <c r="F13" s="137">
        <f>'Resid Cust Fcst '!$AE14*'Resid TSM UC Adj'!F13</f>
        <v>0</v>
      </c>
      <c r="G13" s="23">
        <f>'Resid Cust Fcst '!$AE14*'Resid TSM UC Adj'!G13</f>
        <v>0</v>
      </c>
      <c r="H13" s="23">
        <f>'Resid Cust Fcst '!$AE14*'Resid TSM UC Adj'!H13</f>
        <v>0</v>
      </c>
      <c r="I13" s="45">
        <f>IF(SUM(F13:H13)=0,0,SUM(F13:H13)/'Resid Cust Fcst '!AE14)</f>
        <v>0</v>
      </c>
      <c r="J13" s="137">
        <f>'Resid Cust Fcst '!$AF14*'Resid TSM UC Adj'!J13</f>
        <v>0</v>
      </c>
      <c r="K13" s="23">
        <f>'Resid Cust Fcst '!$AF14*'Resid TSM UC Adj'!K13</f>
        <v>0</v>
      </c>
      <c r="L13" s="23">
        <f>'Resid Cust Fcst '!$AF14*'Resid TSM UC Adj'!L13</f>
        <v>0</v>
      </c>
      <c r="M13" s="45">
        <f>IF(SUM(J13:L13)=0,0,SUM(J13:L13)/'Resid Cust Fcst '!AF14)</f>
        <v>0</v>
      </c>
      <c r="N13" s="137">
        <f>'Resid Cust Fcst '!$AG14*'Resid TSM UC Adj'!N13</f>
        <v>1711.248584020168</v>
      </c>
      <c r="O13" s="23">
        <f>'Resid Cust Fcst '!$AG14*'Resid TSM UC Adj'!O13</f>
        <v>1156.5714159798322</v>
      </c>
      <c r="P13" s="23">
        <f>'Resid Cust Fcst '!$AG14*'Resid TSM UC Adj'!P13</f>
        <v>373.18</v>
      </c>
      <c r="Q13" s="45">
        <f>IF(SUM(N13:P13)=0,0,SUM(N13:P13)/'Resid Cust Fcst '!AG14)</f>
        <v>3241</v>
      </c>
      <c r="R13" s="137">
        <f t="shared" si="2"/>
        <v>23357.078383720087</v>
      </c>
      <c r="S13" s="23">
        <f t="shared" si="0"/>
        <v>9458.3082678636201</v>
      </c>
      <c r="T13" s="23">
        <f t="shared" si="0"/>
        <v>2835.6133484162892</v>
      </c>
      <c r="U13" s="45">
        <f>IF(SUM(R13:T13)=0,0,SUM(R13:T13)/'Resid Cust Fcst '!AH14)</f>
        <v>3241</v>
      </c>
      <c r="V13" s="137">
        <f>'Resid Cust Fcst '!$AI14*'Resid TSM UC Adj'!R13</f>
        <v>0</v>
      </c>
      <c r="W13" s="23">
        <f>'Resid Cust Fcst '!$AI14*'Resid TSM UC Adj'!S13</f>
        <v>0</v>
      </c>
      <c r="X13" s="23">
        <f>'Resid Cust Fcst '!$AI14*'Resid TSM UC Adj'!T13</f>
        <v>0</v>
      </c>
      <c r="Y13" s="45">
        <f>IF(SUM(V13:X13)=0,0,SUM(V13:X13)/'Resid Cust Fcst '!AI14)</f>
        <v>0</v>
      </c>
      <c r="Z13" s="137">
        <f t="shared" si="3"/>
        <v>23357.078383720087</v>
      </c>
      <c r="AA13" s="23">
        <f t="shared" si="1"/>
        <v>9458.3082678636201</v>
      </c>
      <c r="AB13" s="23">
        <f t="shared" si="1"/>
        <v>2835.6133484162892</v>
      </c>
      <c r="AC13" s="45">
        <f>IF(SUM(Z13:AB13)=0,0,SUM(Z13:AB13)/'Resid Cust Fcst '!AJ14)</f>
        <v>3241</v>
      </c>
    </row>
    <row r="14" spans="1:29">
      <c r="A14" s="153" t="s">
        <v>10</v>
      </c>
      <c r="B14" s="137">
        <f>'Resid Cust Fcst '!$AD15*'Resid TSM UC Adj'!B14</f>
        <v>7081.5652239080691</v>
      </c>
      <c r="C14" s="23">
        <f>'Resid Cust Fcst '!$AD15*'Resid TSM UC Adj'!C14</f>
        <v>7892.2181018837873</v>
      </c>
      <c r="D14" s="23">
        <f>'Resid Cust Fcst '!$AD15*'Resid TSM UC Adj'!D14</f>
        <v>1231.2166742081447</v>
      </c>
      <c r="E14" s="45">
        <f>IF(SUM(B14:D14)=0,0,SUM(B14:D14)/'Resid Cust Fcst '!AD15)</f>
        <v>3241.0000000000005</v>
      </c>
      <c r="F14" s="137">
        <f>'Resid Cust Fcst '!$AE15*'Resid TSM UC Adj'!F14</f>
        <v>0</v>
      </c>
      <c r="G14" s="23">
        <f>'Resid Cust Fcst '!$AE15*'Resid TSM UC Adj'!G14</f>
        <v>0</v>
      </c>
      <c r="H14" s="23">
        <f>'Resid Cust Fcst '!$AE15*'Resid TSM UC Adj'!H14</f>
        <v>0</v>
      </c>
      <c r="I14" s="45">
        <f>IF(SUM(F14:H14)=0,0,SUM(F14:H14)/'Resid Cust Fcst '!AE15)</f>
        <v>0</v>
      </c>
      <c r="J14" s="137">
        <f>'Resid Cust Fcst '!$AF15*'Resid TSM UC Adj'!J14</f>
        <v>0</v>
      </c>
      <c r="K14" s="23">
        <f>'Resid Cust Fcst '!$AF15*'Resid TSM UC Adj'!K14</f>
        <v>0</v>
      </c>
      <c r="L14" s="23">
        <f>'Resid Cust Fcst '!$AF15*'Resid TSM UC Adj'!L14</f>
        <v>0</v>
      </c>
      <c r="M14" s="45">
        <f>IF(SUM(J14:L14)=0,0,SUM(J14:L14)/'Resid Cust Fcst '!AF15)</f>
        <v>0</v>
      </c>
      <c r="N14" s="137">
        <f>'Resid Cust Fcst '!$AG15*'Resid TSM UC Adj'!N14</f>
        <v>0</v>
      </c>
      <c r="O14" s="23">
        <f>'Resid Cust Fcst '!$AG15*'Resid TSM UC Adj'!O14</f>
        <v>0</v>
      </c>
      <c r="P14" s="23">
        <f>'Resid Cust Fcst '!$AG15*'Resid TSM UC Adj'!P14</f>
        <v>0</v>
      </c>
      <c r="Q14" s="45">
        <f>IF(SUM(N14:P14)=0,0,SUM(N14:P14)/'Resid Cust Fcst '!AG15)</f>
        <v>0</v>
      </c>
      <c r="R14" s="137">
        <f t="shared" si="2"/>
        <v>7081.5652239080691</v>
      </c>
      <c r="S14" s="23">
        <f t="shared" si="0"/>
        <v>7892.2181018837873</v>
      </c>
      <c r="T14" s="23">
        <f t="shared" si="0"/>
        <v>1231.2166742081447</v>
      </c>
      <c r="U14" s="45">
        <f>IF(SUM(R14:T14)=0,0,SUM(R14:T14)/'Resid Cust Fcst '!AH15)</f>
        <v>3241.0000000000005</v>
      </c>
      <c r="V14" s="137">
        <f>'Resid Cust Fcst '!$AI15*'Resid TSM UC Adj'!R14</f>
        <v>0</v>
      </c>
      <c r="W14" s="23">
        <f>'Resid Cust Fcst '!$AI15*'Resid TSM UC Adj'!S14</f>
        <v>0</v>
      </c>
      <c r="X14" s="23">
        <f>'Resid Cust Fcst '!$AI15*'Resid TSM UC Adj'!T14</f>
        <v>0</v>
      </c>
      <c r="Y14" s="45">
        <f>IF(SUM(V14:X14)=0,0,SUM(V14:X14)/'Resid Cust Fcst '!AI15)</f>
        <v>0</v>
      </c>
      <c r="Z14" s="137">
        <f t="shared" si="3"/>
        <v>7081.5652239080691</v>
      </c>
      <c r="AA14" s="23">
        <f t="shared" si="1"/>
        <v>7892.2181018837873</v>
      </c>
      <c r="AB14" s="23">
        <f t="shared" si="1"/>
        <v>1231.2166742081447</v>
      </c>
      <c r="AC14" s="45">
        <f>IF(SUM(Z14:AB14)=0,0,SUM(Z14:AB14)/'Resid Cust Fcst '!AJ15)</f>
        <v>3241.0000000000005</v>
      </c>
    </row>
    <row r="15" spans="1:29">
      <c r="A15" s="153" t="s">
        <v>11</v>
      </c>
      <c r="B15" s="137">
        <f>'Resid Cust Fcst '!$AD16*'Resid TSM UC Adj'!B15</f>
        <v>0</v>
      </c>
      <c r="C15" s="23">
        <f>'Resid Cust Fcst '!$AD16*'Resid TSM UC Adj'!C15</f>
        <v>0</v>
      </c>
      <c r="D15" s="23">
        <f>'Resid Cust Fcst '!$AD16*'Resid TSM UC Adj'!D15</f>
        <v>0</v>
      </c>
      <c r="E15" s="45">
        <f>IF(SUM(B15:D15)=0,0,SUM(B15:D15)/'Resid Cust Fcst '!AD16)</f>
        <v>0</v>
      </c>
      <c r="F15" s="137">
        <f>'Resid Cust Fcst '!$AE16*'Resid TSM UC Adj'!F15</f>
        <v>0</v>
      </c>
      <c r="G15" s="23">
        <f>'Resid Cust Fcst '!$AE16*'Resid TSM UC Adj'!G15</f>
        <v>0</v>
      </c>
      <c r="H15" s="23">
        <f>'Resid Cust Fcst '!$AE16*'Resid TSM UC Adj'!H15</f>
        <v>0</v>
      </c>
      <c r="I15" s="45">
        <f>IF(SUM(F15:H15)=0,0,SUM(F15:H15)/'Resid Cust Fcst '!AE16)</f>
        <v>0</v>
      </c>
      <c r="J15" s="137">
        <f>'Resid Cust Fcst '!$AF16*'Resid TSM UC Adj'!J15</f>
        <v>0</v>
      </c>
      <c r="K15" s="23">
        <f>'Resid Cust Fcst '!$AF16*'Resid TSM UC Adj'!K15</f>
        <v>2867.8199999999997</v>
      </c>
      <c r="L15" s="23">
        <f>'Resid Cust Fcst '!$AF16*'Resid TSM UC Adj'!L15</f>
        <v>373.18</v>
      </c>
      <c r="M15" s="45">
        <f>IF(SUM(J15:L15)=0,0,SUM(J15:L15)/'Resid Cust Fcst '!AF16)</f>
        <v>3240.9999999999995</v>
      </c>
      <c r="N15" s="137">
        <f>'Resid Cust Fcst '!$AG16*'Resid TSM UC Adj'!N15</f>
        <v>0</v>
      </c>
      <c r="O15" s="23">
        <f>'Resid Cust Fcst '!$AG16*'Resid TSM UC Adj'!O15</f>
        <v>0</v>
      </c>
      <c r="P15" s="23">
        <f>'Resid Cust Fcst '!$AG16*'Resid TSM UC Adj'!P15</f>
        <v>0</v>
      </c>
      <c r="Q15" s="45">
        <f>IF(SUM(N15:P15)=0,0,SUM(N15:P15)/'Resid Cust Fcst '!AG16)</f>
        <v>0</v>
      </c>
      <c r="R15" s="137">
        <f t="shared" si="2"/>
        <v>0</v>
      </c>
      <c r="S15" s="23">
        <f t="shared" si="0"/>
        <v>2867.8199999999997</v>
      </c>
      <c r="T15" s="23">
        <f t="shared" si="0"/>
        <v>373.18</v>
      </c>
      <c r="U15" s="45">
        <f>IF(SUM(R15:T15)=0,0,SUM(R15:T15)/'Resid Cust Fcst '!AH16)</f>
        <v>3240.9999999999995</v>
      </c>
      <c r="V15" s="137">
        <f>'Resid Cust Fcst '!$AI16*'Resid TSM UC Adj'!R15</f>
        <v>0</v>
      </c>
      <c r="W15" s="23">
        <f>'Resid Cust Fcst '!$AI16*'Resid TSM UC Adj'!S15</f>
        <v>0</v>
      </c>
      <c r="X15" s="23">
        <f>'Resid Cust Fcst '!$AI16*'Resid TSM UC Adj'!T15</f>
        <v>0</v>
      </c>
      <c r="Y15" s="45">
        <f>IF(SUM(V15:X15)=0,0,SUM(V15:X15)/'Resid Cust Fcst '!AI16)</f>
        <v>0</v>
      </c>
      <c r="Z15" s="137">
        <f t="shared" si="3"/>
        <v>0</v>
      </c>
      <c r="AA15" s="23">
        <f t="shared" si="1"/>
        <v>2867.8199999999997</v>
      </c>
      <c r="AB15" s="23">
        <f t="shared" si="1"/>
        <v>373.18</v>
      </c>
      <c r="AC15" s="45">
        <f>IF(SUM(Z15:AB15)=0,0,SUM(Z15:AB15)/'Resid Cust Fcst '!AJ16)</f>
        <v>3240.9999999999995</v>
      </c>
    </row>
    <row r="16" spans="1:29">
      <c r="A16" s="153" t="s">
        <v>120</v>
      </c>
      <c r="B16" s="137">
        <f>'Resid Cust Fcst '!$AD17*'Resid TSM UC Adj'!B16</f>
        <v>0</v>
      </c>
      <c r="C16" s="23">
        <f>'Resid Cust Fcst '!$AD17*'Resid TSM UC Adj'!C16</f>
        <v>0</v>
      </c>
      <c r="D16" s="23">
        <f>'Resid Cust Fcst '!$AD17*'Resid TSM UC Adj'!D16</f>
        <v>0</v>
      </c>
      <c r="E16" s="45">
        <f>IF(SUM(B16:D16)=0,0,SUM(B16:D16)/'Resid Cust Fcst '!AD17)</f>
        <v>0</v>
      </c>
      <c r="F16" s="137">
        <f>'Resid Cust Fcst '!$AE17*'Resid TSM UC Adj'!F16</f>
        <v>0</v>
      </c>
      <c r="G16" s="23">
        <f>'Resid Cust Fcst '!$AE17*'Resid TSM UC Adj'!G16</f>
        <v>0</v>
      </c>
      <c r="H16" s="23">
        <f>'Resid Cust Fcst '!$AE17*'Resid TSM UC Adj'!H16</f>
        <v>0</v>
      </c>
      <c r="I16" s="45">
        <f>IF(SUM(F16:H16)=0,0,SUM(F16:H16)/'Resid Cust Fcst '!AE17)</f>
        <v>0</v>
      </c>
      <c r="J16" s="137">
        <f>'Resid Cust Fcst '!$AF17*'Resid TSM UC Adj'!J16</f>
        <v>0</v>
      </c>
      <c r="K16" s="23">
        <f>'Resid Cust Fcst '!$AF17*'Resid TSM UC Adj'!K16</f>
        <v>0</v>
      </c>
      <c r="L16" s="23">
        <f>'Resid Cust Fcst '!$AF17*'Resid TSM UC Adj'!L16</f>
        <v>0</v>
      </c>
      <c r="M16" s="45">
        <f>IF(SUM(J16:L16)=0,0,SUM(J16:L16)/'Resid Cust Fcst '!AF17)</f>
        <v>0</v>
      </c>
      <c r="N16" s="137">
        <f>'Resid Cust Fcst '!$AG17*'Resid TSM UC Adj'!N16</f>
        <v>935.67703813754997</v>
      </c>
      <c r="O16" s="23">
        <f>'Resid Cust Fcst '!$AG17*'Resid TSM UC Adj'!O16</f>
        <v>4799.9629618624504</v>
      </c>
      <c r="P16" s="23">
        <f>'Resid Cust Fcst '!$AG17*'Resid TSM UC Adj'!P16</f>
        <v>746.36</v>
      </c>
      <c r="Q16" s="45">
        <f>IF(SUM(N16:P16)=0,0,SUM(N16:P16)/'Resid Cust Fcst '!AG17)</f>
        <v>3241</v>
      </c>
      <c r="R16" s="137">
        <f t="shared" si="2"/>
        <v>935.67703813754997</v>
      </c>
      <c r="S16" s="23">
        <f t="shared" si="0"/>
        <v>4799.9629618624504</v>
      </c>
      <c r="T16" s="23">
        <f t="shared" si="0"/>
        <v>746.36</v>
      </c>
      <c r="U16" s="45">
        <f>IF(SUM(R16:T16)=0,0,SUM(R16:T16)/'Resid Cust Fcst '!AH17)</f>
        <v>3241</v>
      </c>
      <c r="V16" s="137">
        <f>'Resid Cust Fcst '!$AI17*'Resid TSM UC Adj'!R16</f>
        <v>0</v>
      </c>
      <c r="W16" s="23">
        <f>'Resid Cust Fcst '!$AI17*'Resid TSM UC Adj'!S16</f>
        <v>0</v>
      </c>
      <c r="X16" s="23">
        <f>'Resid Cust Fcst '!$AI17*'Resid TSM UC Adj'!T16</f>
        <v>0</v>
      </c>
      <c r="Y16" s="45">
        <f>IF(SUM(V16:X16)=0,0,SUM(V16:X16)/'Resid Cust Fcst '!AI17)</f>
        <v>0</v>
      </c>
      <c r="Z16" s="137">
        <f t="shared" si="3"/>
        <v>935.67703813754997</v>
      </c>
      <c r="AA16" s="23">
        <f t="shared" si="1"/>
        <v>4799.9629618624504</v>
      </c>
      <c r="AB16" s="23">
        <f t="shared" si="1"/>
        <v>746.36</v>
      </c>
      <c r="AC16" s="45">
        <f>IF(SUM(Z16:AB16)=0,0,SUM(Z16:AB16)/'Resid Cust Fcst '!AJ17)</f>
        <v>3241</v>
      </c>
    </row>
    <row r="17" spans="1:29">
      <c r="A17" s="153" t="s">
        <v>121</v>
      </c>
      <c r="B17" s="137">
        <f>'Resid Cust Fcst '!$AD18*'Resid TSM UC Adj'!J17</f>
        <v>0</v>
      </c>
      <c r="C17" s="23">
        <f>'Resid Cust Fcst '!$AD18*'Resid TSM UC Adj'!K17</f>
        <v>2867.8199999999988</v>
      </c>
      <c r="D17" s="23">
        <f>'Resid Cust Fcst '!$AD18*'Resid TSM UC Adj'!L17</f>
        <v>373.18</v>
      </c>
      <c r="E17" s="45">
        <f>IF(SUM(B17:D17)=0,0,SUM(B17:D17)/'Resid Cust Fcst '!AD18)</f>
        <v>3240.9999999999986</v>
      </c>
      <c r="F17" s="137">
        <f>'Resid Cust Fcst '!$AE18*'Resid TSM UC Adj'!F17</f>
        <v>0</v>
      </c>
      <c r="G17" s="23">
        <f>'Resid Cust Fcst '!$AE18*'Resid TSM UC Adj'!G17</f>
        <v>0</v>
      </c>
      <c r="H17" s="23">
        <f>'Resid Cust Fcst '!$AE18*'Resid TSM UC Adj'!H17</f>
        <v>0</v>
      </c>
      <c r="I17" s="45">
        <f>IF(SUM(F17:H17)=0,0,SUM(F17:H17)/'Resid Cust Fcst '!AE18)</f>
        <v>0</v>
      </c>
      <c r="J17" s="137">
        <f>'Resid Cust Fcst '!$AF18*'Resid TSM UC Adj'!J17</f>
        <v>0</v>
      </c>
      <c r="K17" s="23">
        <f>'Resid Cust Fcst '!$AF18*'Resid TSM UC Adj'!K17</f>
        <v>0</v>
      </c>
      <c r="L17" s="23">
        <f>'Resid Cust Fcst '!$AF18*'Resid TSM UC Adj'!L17</f>
        <v>0</v>
      </c>
      <c r="M17" s="45">
        <f>IF(SUM(J17:L17)=0,0,SUM(J17:L17)/'Resid Cust Fcst '!AF18)</f>
        <v>0</v>
      </c>
      <c r="N17" s="137">
        <f>'Resid Cust Fcst '!$AG18*'Resid TSM UC Adj'!N17</f>
        <v>0</v>
      </c>
      <c r="O17" s="23">
        <f>'Resid Cust Fcst '!$AG18*'Resid TSM UC Adj'!O17</f>
        <v>0</v>
      </c>
      <c r="P17" s="23">
        <f>'Resid Cust Fcst '!$AG18*'Resid TSM UC Adj'!P17</f>
        <v>0</v>
      </c>
      <c r="Q17" s="45">
        <f>IF(SUM(N17:P17)=0,0,SUM(N17:P17)/'Resid Cust Fcst '!AG18)</f>
        <v>0</v>
      </c>
      <c r="R17" s="137">
        <f t="shared" si="2"/>
        <v>0</v>
      </c>
      <c r="S17" s="23">
        <f t="shared" si="0"/>
        <v>2867.8199999999988</v>
      </c>
      <c r="T17" s="23">
        <f t="shared" si="0"/>
        <v>373.18</v>
      </c>
      <c r="U17" s="45">
        <f>IF(SUM(R17:T17)=0,0,SUM(R17:T17)/'Resid Cust Fcst '!AH18)</f>
        <v>3240.9999999999986</v>
      </c>
      <c r="V17" s="137">
        <f>'Resid Cust Fcst '!$AI18*'Resid TSM UC Adj'!R17</f>
        <v>0</v>
      </c>
      <c r="W17" s="23">
        <f>'Resid Cust Fcst '!$AI18*'Resid TSM UC Adj'!S17</f>
        <v>0</v>
      </c>
      <c r="X17" s="23">
        <f>'Resid Cust Fcst '!$AI18*'Resid TSM UC Adj'!T17</f>
        <v>0</v>
      </c>
      <c r="Y17" s="45">
        <f>IF(SUM(V17:X17)=0,0,SUM(V17:X17)/'Resid Cust Fcst '!AI18)</f>
        <v>0</v>
      </c>
      <c r="Z17" s="137">
        <f t="shared" si="3"/>
        <v>0</v>
      </c>
      <c r="AA17" s="23">
        <f t="shared" si="1"/>
        <v>2867.8199999999988</v>
      </c>
      <c r="AB17" s="23">
        <f t="shared" si="1"/>
        <v>373.18</v>
      </c>
      <c r="AC17" s="45">
        <f>IF(SUM(Z17:AB17)=0,0,SUM(Z17:AB17)/'Resid Cust Fcst '!AJ18)</f>
        <v>3240.9999999999986</v>
      </c>
    </row>
    <row r="18" spans="1:29">
      <c r="A18" s="153" t="s">
        <v>12</v>
      </c>
      <c r="B18" s="137">
        <f>'Resid Cust Fcst '!$AD19*'Resid TSM UC Adj'!J18</f>
        <v>0</v>
      </c>
      <c r="C18" s="23">
        <f>'Resid Cust Fcst '!$AD19*'Resid TSM UC Adj'!K18</f>
        <v>0</v>
      </c>
      <c r="D18" s="23">
        <f>'Resid Cust Fcst '!$AD19*'Resid TSM UC Adj'!L18</f>
        <v>0</v>
      </c>
      <c r="E18" s="45">
        <f>IF(SUM(B18:D18)=0,0,SUM(B18:D18)/'Resid Cust Fcst '!AD19)</f>
        <v>0</v>
      </c>
      <c r="F18" s="137">
        <f>'Resid Cust Fcst '!$AE19*'Resid TSM UC Adj'!J18</f>
        <v>0</v>
      </c>
      <c r="G18" s="23">
        <f>'Resid Cust Fcst '!$AE19*'Resid TSM UC Adj'!K18</f>
        <v>0</v>
      </c>
      <c r="H18" s="23">
        <f>'Resid Cust Fcst '!$AE19*'Resid TSM UC Adj'!L18</f>
        <v>0</v>
      </c>
      <c r="I18" s="45">
        <f>IF(SUM(F18:H18)=0,0,SUM(F18:H18)/'Resid Cust Fcst '!AE19)</f>
        <v>0</v>
      </c>
      <c r="J18" s="137">
        <f>'Resid Cust Fcst '!$AF19*'Resid TSM UC Adj'!J18</f>
        <v>0</v>
      </c>
      <c r="K18" s="23">
        <f>'Resid Cust Fcst '!$AF19*'Resid TSM UC Adj'!K18</f>
        <v>0</v>
      </c>
      <c r="L18" s="23">
        <f>'Resid Cust Fcst '!$AF19*'Resid TSM UC Adj'!L18</f>
        <v>0</v>
      </c>
      <c r="M18" s="45">
        <f>IF(SUM(J18:L18)=0,0,SUM(J18:L18)/'Resid Cust Fcst '!AF19)</f>
        <v>0</v>
      </c>
      <c r="N18" s="137">
        <f>'Resid Cust Fcst '!$AG19*'Resid TSM UC Adj'!N18</f>
        <v>0</v>
      </c>
      <c r="O18" s="23">
        <f>'Resid Cust Fcst '!$AG19*'Resid TSM UC Adj'!O18</f>
        <v>0</v>
      </c>
      <c r="P18" s="23">
        <f>'Resid Cust Fcst '!$AG19*'Resid TSM UC Adj'!P18</f>
        <v>0</v>
      </c>
      <c r="Q18" s="45">
        <f>IF(SUM(N18:P18)=0,0,SUM(N18:P18)/'Resid Cust Fcst '!AG19)</f>
        <v>0</v>
      </c>
      <c r="R18" s="137">
        <f t="shared" si="2"/>
        <v>0</v>
      </c>
      <c r="S18" s="23">
        <f t="shared" si="0"/>
        <v>0</v>
      </c>
      <c r="T18" s="23">
        <f t="shared" si="0"/>
        <v>0</v>
      </c>
      <c r="U18" s="45">
        <f>IF(SUM(R18:T18)=0,0,SUM(R18:T18)/'Resid Cust Fcst '!AH19)</f>
        <v>0</v>
      </c>
      <c r="V18" s="137">
        <f>'Resid Cust Fcst '!$AI19*'Resid TSM UC Adj'!R18</f>
        <v>0</v>
      </c>
      <c r="W18" s="23">
        <f>'Resid Cust Fcst '!$AI19*'Resid TSM UC Adj'!S18</f>
        <v>0</v>
      </c>
      <c r="X18" s="23">
        <f>'Resid Cust Fcst '!$AI19*'Resid TSM UC Adj'!T18</f>
        <v>0</v>
      </c>
      <c r="Y18" s="45">
        <f>IF(SUM(V18:X18)=0,0,SUM(V18:X18)/'Resid Cust Fcst '!AI19)</f>
        <v>0</v>
      </c>
      <c r="Z18" s="137">
        <f t="shared" si="3"/>
        <v>0</v>
      </c>
      <c r="AA18" s="23">
        <f t="shared" si="1"/>
        <v>0</v>
      </c>
      <c r="AB18" s="23">
        <f t="shared" si="1"/>
        <v>0</v>
      </c>
      <c r="AC18" s="45">
        <f>IF(SUM(Z18:AB18)=0,0,SUM(Z18:AB18)/'Resid Cust Fcst '!AJ19)</f>
        <v>0</v>
      </c>
    </row>
    <row r="19" spans="1:29" s="58" customFormat="1">
      <c r="A19" s="134" t="s">
        <v>13</v>
      </c>
      <c r="B19" s="137">
        <f>'Resid Cust Fcst '!$AD20*'Resid TSM UC Adj'!J19</f>
        <v>0</v>
      </c>
      <c r="C19" s="23">
        <f>'Resid Cust Fcst '!$AD20*'Resid TSM UC Adj'!K19</f>
        <v>0</v>
      </c>
      <c r="D19" s="23">
        <f>'Resid Cust Fcst '!$AD20*'Resid TSM UC Adj'!L19</f>
        <v>0</v>
      </c>
      <c r="E19" s="45">
        <f>IF(SUM(B19:D19)=0,0,SUM(B19:D19)/'Resid Cust Fcst '!AD20)</f>
        <v>0</v>
      </c>
      <c r="F19" s="137">
        <f>'Resid Cust Fcst '!$AE20*'Resid TSM UC Adj'!J19</f>
        <v>0</v>
      </c>
      <c r="G19" s="23">
        <f>'Resid Cust Fcst '!$AE20*'Resid TSM UC Adj'!K19</f>
        <v>0</v>
      </c>
      <c r="H19" s="23">
        <f>'Resid Cust Fcst '!$AE20*'Resid TSM UC Adj'!L19</f>
        <v>0</v>
      </c>
      <c r="I19" s="45">
        <f>IF(SUM(F19:H19)=0,0,SUM(F19:H19)/'Resid Cust Fcst '!AE20)</f>
        <v>0</v>
      </c>
      <c r="J19" s="137">
        <f>'Resid Cust Fcst '!$AF20*'Resid TSM UC Adj'!J19</f>
        <v>0</v>
      </c>
      <c r="K19" s="23">
        <f>'Resid Cust Fcst '!$AF20*'Resid TSM UC Adj'!K19</f>
        <v>0</v>
      </c>
      <c r="L19" s="23">
        <f>'Resid Cust Fcst '!$AF20*'Resid TSM UC Adj'!L19</f>
        <v>0</v>
      </c>
      <c r="M19" s="45">
        <f>IF(SUM(J19:L19)=0,0,SUM(J19:L19)/'Resid Cust Fcst '!AF20)</f>
        <v>0</v>
      </c>
      <c r="N19" s="137">
        <f>'Resid Cust Fcst '!$AG20*'Resid TSM UC Adj'!N19</f>
        <v>0</v>
      </c>
      <c r="O19" s="23">
        <f>'Resid Cust Fcst '!$AG20*'Resid TSM UC Adj'!O19</f>
        <v>0</v>
      </c>
      <c r="P19" s="23">
        <f>'Resid Cust Fcst '!$AG20*'Resid TSM UC Adj'!P19</f>
        <v>0</v>
      </c>
      <c r="Q19" s="45">
        <f>IF(SUM(N19:P19)=0,0,SUM(N19:P19)/'Resid Cust Fcst '!AG20)</f>
        <v>0</v>
      </c>
      <c r="R19" s="137">
        <f t="shared" si="2"/>
        <v>0</v>
      </c>
      <c r="S19" s="23">
        <f t="shared" si="0"/>
        <v>0</v>
      </c>
      <c r="T19" s="23">
        <f t="shared" si="0"/>
        <v>0</v>
      </c>
      <c r="U19" s="45">
        <f>IF(SUM(R19:T19)=0,0,SUM(R19:T19)/'Resid Cust Fcst '!AH20)</f>
        <v>0</v>
      </c>
      <c r="V19" s="137">
        <f>'Resid Cust Fcst '!$AI20*'Resid TSM UC Adj'!R19</f>
        <v>0</v>
      </c>
      <c r="W19" s="23">
        <f>'Resid Cust Fcst '!$AI20*'Resid TSM UC Adj'!S19</f>
        <v>0</v>
      </c>
      <c r="X19" s="23">
        <f>'Resid Cust Fcst '!$AI20*'Resid TSM UC Adj'!T19</f>
        <v>0</v>
      </c>
      <c r="Y19" s="45">
        <f>IF(SUM(V19:X19)=0,0,SUM(V19:X19)/'Resid Cust Fcst '!AI20)</f>
        <v>0</v>
      </c>
      <c r="Z19" s="137">
        <f t="shared" si="3"/>
        <v>0</v>
      </c>
      <c r="AA19" s="23">
        <f t="shared" si="1"/>
        <v>0</v>
      </c>
      <c r="AB19" s="23">
        <f t="shared" si="1"/>
        <v>0</v>
      </c>
      <c r="AC19" s="45">
        <f>IF(SUM(Z19:AB19)=0,0,SUM(Z19:AB19)/'Resid Cust Fcst '!AJ20)</f>
        <v>0</v>
      </c>
    </row>
    <row r="20" spans="1:29">
      <c r="A20" s="153" t="s">
        <v>122</v>
      </c>
      <c r="B20" s="137">
        <f>'Resid Cust Fcst '!$AD21*'Resid TSM UC Adj'!J20</f>
        <v>0</v>
      </c>
      <c r="C20" s="23">
        <f>'Resid Cust Fcst '!$AD21*'Resid TSM UC Adj'!K20</f>
        <v>0</v>
      </c>
      <c r="D20" s="23">
        <f>'Resid Cust Fcst '!$AD21*'Resid TSM UC Adj'!L20</f>
        <v>0</v>
      </c>
      <c r="E20" s="45">
        <f>IF(SUM(B20:D20)=0,0,SUM(B20:D20)/'Resid Cust Fcst '!AD21)</f>
        <v>0</v>
      </c>
      <c r="F20" s="137">
        <f>'Resid Cust Fcst '!$AE21*'Resid TSM UC Adj'!J20</f>
        <v>0</v>
      </c>
      <c r="G20" s="23">
        <f>'Resid Cust Fcst '!$AE21*'Resid TSM UC Adj'!K20</f>
        <v>0</v>
      </c>
      <c r="H20" s="23">
        <f>'Resid Cust Fcst '!$AE21*'Resid TSM UC Adj'!L20</f>
        <v>0</v>
      </c>
      <c r="I20" s="45">
        <f>IF(SUM(F20:H20)=0,0,SUM(F20:H20)/'Resid Cust Fcst '!AE21)</f>
        <v>0</v>
      </c>
      <c r="J20" s="137">
        <f>'Resid Cust Fcst '!$AF21*'Resid TSM UC Adj'!J20</f>
        <v>0</v>
      </c>
      <c r="K20" s="23">
        <f>'Resid Cust Fcst '!$AF21*'Resid TSM UC Adj'!K20</f>
        <v>0</v>
      </c>
      <c r="L20" s="23">
        <f>'Resid Cust Fcst '!$AF21*'Resid TSM UC Adj'!L20</f>
        <v>0</v>
      </c>
      <c r="M20" s="45">
        <f>IF(SUM(J20:L20)=0,0,SUM(J20:L20)/'Resid Cust Fcst '!AF21)</f>
        <v>0</v>
      </c>
      <c r="N20" s="137">
        <f>'Resid Cust Fcst '!$AG21*'Resid TSM UC Adj'!N20</f>
        <v>0</v>
      </c>
      <c r="O20" s="23">
        <f>'Resid Cust Fcst '!$AG21*'Resid TSM UC Adj'!O20</f>
        <v>0</v>
      </c>
      <c r="P20" s="23">
        <f>'Resid Cust Fcst '!$AG21*'Resid TSM UC Adj'!P20</f>
        <v>0</v>
      </c>
      <c r="Q20" s="45">
        <f>IF(SUM(N20:P20)=0,0,SUM(N20:P20)/'Resid Cust Fcst '!AG21)</f>
        <v>0</v>
      </c>
      <c r="R20" s="137">
        <f t="shared" si="2"/>
        <v>0</v>
      </c>
      <c r="S20" s="23">
        <f t="shared" si="0"/>
        <v>0</v>
      </c>
      <c r="T20" s="23">
        <f t="shared" si="0"/>
        <v>0</v>
      </c>
      <c r="U20" s="45">
        <f>IF(SUM(R20:T20)=0,0,SUM(R20:T20)/'Resid Cust Fcst '!AH21)</f>
        <v>0</v>
      </c>
      <c r="V20" s="137">
        <f>'Resid Cust Fcst '!$AI21*'Resid TSM UC Adj'!R20</f>
        <v>0</v>
      </c>
      <c r="W20" s="23">
        <f>'Resid Cust Fcst '!$AI21*'Resid TSM UC Adj'!S20</f>
        <v>0</v>
      </c>
      <c r="X20" s="23">
        <f>'Resid Cust Fcst '!$AI21*'Resid TSM UC Adj'!T20</f>
        <v>0</v>
      </c>
      <c r="Y20" s="45">
        <f>IF(SUM(V20:X20)=0,0,SUM(V20:X20)/'Resid Cust Fcst '!AI21)</f>
        <v>0</v>
      </c>
      <c r="Z20" s="137">
        <f t="shared" si="3"/>
        <v>0</v>
      </c>
      <c r="AA20" s="23">
        <f t="shared" si="1"/>
        <v>0</v>
      </c>
      <c r="AB20" s="23">
        <f t="shared" si="1"/>
        <v>0</v>
      </c>
      <c r="AC20" s="45">
        <f>IF(SUM(Z20:AB20)=0,0,SUM(Z20:AB20)/'Resid Cust Fcst '!AJ21)</f>
        <v>0</v>
      </c>
    </row>
    <row r="21" spans="1:29">
      <c r="A21" s="153" t="s">
        <v>123</v>
      </c>
      <c r="B21" s="137">
        <f>'Resid Cust Fcst '!$AD22*'Resid TSM UC Adj'!J21</f>
        <v>0</v>
      </c>
      <c r="C21" s="23">
        <f>'Resid Cust Fcst '!$AD22*'Resid TSM UC Adj'!K21</f>
        <v>0</v>
      </c>
      <c r="D21" s="23">
        <f>'Resid Cust Fcst '!$AD22*'Resid TSM UC Adj'!L21</f>
        <v>0</v>
      </c>
      <c r="E21" s="45">
        <f>IF(SUM(B21:D21)=0,0,SUM(B21:D21)/'Resid Cust Fcst '!AD22)</f>
        <v>0</v>
      </c>
      <c r="F21" s="137">
        <f>'Resid Cust Fcst '!$AE22*'Resid TSM UC Adj'!J21</f>
        <v>0</v>
      </c>
      <c r="G21" s="23">
        <f>'Resid Cust Fcst '!$AE22*'Resid TSM UC Adj'!K21</f>
        <v>0</v>
      </c>
      <c r="H21" s="23">
        <f>'Resid Cust Fcst '!$AE22*'Resid TSM UC Adj'!L21</f>
        <v>0</v>
      </c>
      <c r="I21" s="45">
        <f>IF(SUM(F21:H21)=0,0,SUM(F21:H21)/'Resid Cust Fcst '!AE22)</f>
        <v>0</v>
      </c>
      <c r="J21" s="137">
        <f>'Resid Cust Fcst '!$AF22*'Resid TSM UC Adj'!J21</f>
        <v>0</v>
      </c>
      <c r="K21" s="23">
        <f>'Resid Cust Fcst '!$AF22*'Resid TSM UC Adj'!K21</f>
        <v>0</v>
      </c>
      <c r="L21" s="23">
        <f>'Resid Cust Fcst '!$AF22*'Resid TSM UC Adj'!L21</f>
        <v>0</v>
      </c>
      <c r="M21" s="45">
        <f>IF(SUM(J21:L21)=0,0,SUM(J21:L21)/'Resid Cust Fcst '!AF22)</f>
        <v>0</v>
      </c>
      <c r="N21" s="137">
        <f>'Resid Cust Fcst '!$AG22*'Resid TSM UC Adj'!N21</f>
        <v>0</v>
      </c>
      <c r="O21" s="23">
        <f>'Resid Cust Fcst '!$AG22*'Resid TSM UC Adj'!O21</f>
        <v>0</v>
      </c>
      <c r="P21" s="23">
        <f>'Resid Cust Fcst '!$AG22*'Resid TSM UC Adj'!P21</f>
        <v>0</v>
      </c>
      <c r="Q21" s="45">
        <f>IF(SUM(N21:P21)=0,0,SUM(N21:P21)/'Resid Cust Fcst '!AG22)</f>
        <v>0</v>
      </c>
      <c r="R21" s="137">
        <f t="shared" si="2"/>
        <v>0</v>
      </c>
      <c r="S21" s="23">
        <f t="shared" si="0"/>
        <v>0</v>
      </c>
      <c r="T21" s="23">
        <f t="shared" si="0"/>
        <v>0</v>
      </c>
      <c r="U21" s="45">
        <f>IF(SUM(R21:T21)=0,0,SUM(R21:T21)/'Resid Cust Fcst '!AH22)</f>
        <v>0</v>
      </c>
      <c r="V21" s="137">
        <f>'Resid Cust Fcst '!$AI22*'Resid TSM UC Adj'!R21</f>
        <v>0</v>
      </c>
      <c r="W21" s="23">
        <f>'Resid Cust Fcst '!$AI22*'Resid TSM UC Adj'!S21</f>
        <v>0</v>
      </c>
      <c r="X21" s="23">
        <f>'Resid Cust Fcst '!$AI22*'Resid TSM UC Adj'!T21</f>
        <v>0</v>
      </c>
      <c r="Y21" s="45">
        <f>IF(SUM(V21:X21)=0,0,SUM(V21:X21)/'Resid Cust Fcst '!AI22)</f>
        <v>0</v>
      </c>
      <c r="Z21" s="137">
        <f t="shared" si="3"/>
        <v>0</v>
      </c>
      <c r="AA21" s="23">
        <f t="shared" si="1"/>
        <v>0</v>
      </c>
      <c r="AB21" s="23">
        <f t="shared" si="1"/>
        <v>0</v>
      </c>
      <c r="AC21" s="45">
        <f>IF(SUM(Z21:AB21)=0,0,SUM(Z21:AB21)/'Resid Cust Fcst '!AJ22)</f>
        <v>0</v>
      </c>
    </row>
    <row r="22" spans="1:29">
      <c r="A22" s="153" t="s">
        <v>14</v>
      </c>
      <c r="B22" s="137">
        <f>'Resid Cust Fcst '!$AD23*'Resid TSM UC Adj'!J22</f>
        <v>0</v>
      </c>
      <c r="C22" s="23">
        <f>'Resid Cust Fcst '!$AD23*'Resid TSM UC Adj'!K22</f>
        <v>0</v>
      </c>
      <c r="D22" s="23">
        <f>'Resid Cust Fcst '!$AD23*'Resid TSM UC Adj'!L22</f>
        <v>0</v>
      </c>
      <c r="E22" s="45">
        <f>IF(SUM(B22:D22)=0,0,SUM(B22:D22)/'Resid Cust Fcst '!AD23)</f>
        <v>0</v>
      </c>
      <c r="F22" s="137">
        <f>'Resid Cust Fcst '!$AE23*'Resid TSM UC Adj'!J22</f>
        <v>0</v>
      </c>
      <c r="G22" s="23">
        <f>'Resid Cust Fcst '!$AE23*'Resid TSM UC Adj'!K22</f>
        <v>0</v>
      </c>
      <c r="H22" s="23">
        <f>'Resid Cust Fcst '!$AE23*'Resid TSM UC Adj'!L22</f>
        <v>0</v>
      </c>
      <c r="I22" s="45">
        <f>IF(SUM(F22:H22)=0,0,SUM(F22:H22)/'Resid Cust Fcst '!AE23)</f>
        <v>0</v>
      </c>
      <c r="J22" s="137">
        <f>'Resid Cust Fcst '!$AF23*'Resid TSM UC Adj'!J22</f>
        <v>0</v>
      </c>
      <c r="K22" s="23">
        <f>'Resid Cust Fcst '!$AF23*'Resid TSM UC Adj'!K22</f>
        <v>0</v>
      </c>
      <c r="L22" s="23">
        <f>'Resid Cust Fcst '!$AF23*'Resid TSM UC Adj'!L22</f>
        <v>0</v>
      </c>
      <c r="M22" s="45">
        <f>IF(SUM(J22:L22)=0,0,SUM(J22:L22)/'Resid Cust Fcst '!AF23)</f>
        <v>0</v>
      </c>
      <c r="N22" s="137">
        <f>'Resid Cust Fcst '!$AG23*'Resid TSM UC Adj'!N22</f>
        <v>0</v>
      </c>
      <c r="O22" s="23">
        <f>'Resid Cust Fcst '!$AG23*'Resid TSM UC Adj'!O22</f>
        <v>0</v>
      </c>
      <c r="P22" s="23">
        <f>'Resid Cust Fcst '!$AG23*'Resid TSM UC Adj'!P22</f>
        <v>0</v>
      </c>
      <c r="Q22" s="45">
        <f>IF(SUM(N22:P22)=0,0,SUM(N22:P22)/'Resid Cust Fcst '!AG23)</f>
        <v>0</v>
      </c>
      <c r="R22" s="137">
        <f t="shared" si="2"/>
        <v>0</v>
      </c>
      <c r="S22" s="23">
        <f t="shared" si="0"/>
        <v>0</v>
      </c>
      <c r="T22" s="23">
        <f t="shared" si="0"/>
        <v>0</v>
      </c>
      <c r="U22" s="45">
        <f>IF(SUM(R22:T22)=0,0,SUM(R22:T22)/'Resid Cust Fcst '!AH23)</f>
        <v>0</v>
      </c>
      <c r="V22" s="137">
        <f>'Resid Cust Fcst '!$AI23*'Resid TSM UC Adj'!R22</f>
        <v>0</v>
      </c>
      <c r="W22" s="23">
        <f>'Resid Cust Fcst '!$AI23*'Resid TSM UC Adj'!S22</f>
        <v>0</v>
      </c>
      <c r="X22" s="23">
        <f>'Resid Cust Fcst '!$AI23*'Resid TSM UC Adj'!T22</f>
        <v>0</v>
      </c>
      <c r="Y22" s="45">
        <f>IF(SUM(V22:X22)=0,0,SUM(V22:X22)/'Resid Cust Fcst '!AI23)</f>
        <v>0</v>
      </c>
      <c r="Z22" s="137">
        <f t="shared" si="3"/>
        <v>0</v>
      </c>
      <c r="AA22" s="23">
        <f t="shared" si="1"/>
        <v>0</v>
      </c>
      <c r="AB22" s="23">
        <f t="shared" si="1"/>
        <v>0</v>
      </c>
      <c r="AC22" s="45">
        <f>IF(SUM(Z22:AB22)=0,0,SUM(Z22:AB22)/'Resid Cust Fcst '!AJ23)</f>
        <v>0</v>
      </c>
    </row>
    <row r="23" spans="1:29">
      <c r="A23" s="153" t="s">
        <v>15</v>
      </c>
      <c r="B23" s="137">
        <f>'Resid Cust Fcst '!$AD24*'Resid TSM UC Adj'!J23</f>
        <v>0</v>
      </c>
      <c r="C23" s="23">
        <f>'Resid Cust Fcst '!$AD24*'Resid TSM UC Adj'!K23</f>
        <v>0</v>
      </c>
      <c r="D23" s="23">
        <f>'Resid Cust Fcst '!$AD24*'Resid TSM UC Adj'!L23</f>
        <v>0</v>
      </c>
      <c r="E23" s="45">
        <f>IF(SUM(B23:D23)=0,0,SUM(B23:D23)/'Resid Cust Fcst '!AD24)</f>
        <v>0</v>
      </c>
      <c r="F23" s="137">
        <f>'Resid Cust Fcst '!$AE24*'Resid TSM UC Adj'!J23</f>
        <v>0</v>
      </c>
      <c r="G23" s="23">
        <f>'Resid Cust Fcst '!$AE24*'Resid TSM UC Adj'!K23</f>
        <v>0</v>
      </c>
      <c r="H23" s="23">
        <f>'Resid Cust Fcst '!$AE24*'Resid TSM UC Adj'!L23</f>
        <v>0</v>
      </c>
      <c r="I23" s="45">
        <f>IF(SUM(F23:H23)=0,0,SUM(F23:H23)/'Resid Cust Fcst '!AE24)</f>
        <v>0</v>
      </c>
      <c r="J23" s="137">
        <f>'Resid Cust Fcst '!$AF24*'Resid TSM UC Adj'!J23</f>
        <v>0</v>
      </c>
      <c r="K23" s="23">
        <f>'Resid Cust Fcst '!$AF24*'Resid TSM UC Adj'!K23</f>
        <v>0</v>
      </c>
      <c r="L23" s="23">
        <f>'Resid Cust Fcst '!$AF24*'Resid TSM UC Adj'!L23</f>
        <v>0</v>
      </c>
      <c r="M23" s="45">
        <f>IF(SUM(J23:L23)=0,0,SUM(J23:L23)/'Resid Cust Fcst '!AF24)</f>
        <v>0</v>
      </c>
      <c r="N23" s="137">
        <f>'Resid Cust Fcst '!$AG24*'Resid TSM UC Adj'!N23</f>
        <v>0</v>
      </c>
      <c r="O23" s="23">
        <f>'Resid Cust Fcst '!$AG24*'Resid TSM UC Adj'!O23</f>
        <v>0</v>
      </c>
      <c r="P23" s="23">
        <f>'Resid Cust Fcst '!$AG24*'Resid TSM UC Adj'!P23</f>
        <v>0</v>
      </c>
      <c r="Q23" s="45">
        <f>IF(SUM(N23:P23)=0,0,SUM(N23:P23)/'Resid Cust Fcst '!AG24)</f>
        <v>0</v>
      </c>
      <c r="R23" s="137">
        <f t="shared" si="2"/>
        <v>0</v>
      </c>
      <c r="S23" s="23">
        <f t="shared" ref="S23:S37" si="4">C23+G23+K23+O23</f>
        <v>0</v>
      </c>
      <c r="T23" s="23">
        <f t="shared" ref="T23:T37" si="5">D23+H23+L23+P23</f>
        <v>0</v>
      </c>
      <c r="U23" s="45">
        <f>IF(SUM(R23:T23)=0,0,SUM(R23:T23)/'Resid Cust Fcst '!AH24)</f>
        <v>0</v>
      </c>
      <c r="V23" s="137">
        <f>'Resid Cust Fcst '!$AI24*'Resid TSM UC Adj'!R23</f>
        <v>0</v>
      </c>
      <c r="W23" s="23">
        <f>'Resid Cust Fcst '!$AI24*'Resid TSM UC Adj'!S23</f>
        <v>0</v>
      </c>
      <c r="X23" s="23">
        <f>'Resid Cust Fcst '!$AI24*'Resid TSM UC Adj'!T23</f>
        <v>0</v>
      </c>
      <c r="Y23" s="45">
        <f>IF(SUM(V23:X23)=0,0,SUM(V23:X23)/'Resid Cust Fcst '!AI24)</f>
        <v>0</v>
      </c>
      <c r="Z23" s="137">
        <f t="shared" si="3"/>
        <v>0</v>
      </c>
      <c r="AA23" s="23">
        <f t="shared" ref="AA23:AA37" si="6">S23+W23</f>
        <v>0</v>
      </c>
      <c r="AB23" s="23">
        <f t="shared" ref="AB23:AB37" si="7">T23+X23</f>
        <v>0</v>
      </c>
      <c r="AC23" s="45">
        <f>IF(SUM(Z23:AB23)=0,0,SUM(Z23:AB23)/'Resid Cust Fcst '!AJ24)</f>
        <v>0</v>
      </c>
    </row>
    <row r="24" spans="1:29">
      <c r="A24" s="153" t="s">
        <v>16</v>
      </c>
      <c r="B24" s="137">
        <f>'Resid Cust Fcst '!$AD25*'Resid TSM UC Adj'!J24</f>
        <v>0</v>
      </c>
      <c r="C24" s="23">
        <f>'Resid Cust Fcst '!$AD25*'Resid TSM UC Adj'!K24</f>
        <v>0</v>
      </c>
      <c r="D24" s="23">
        <f>'Resid Cust Fcst '!$AD25*'Resid TSM UC Adj'!L24</f>
        <v>0</v>
      </c>
      <c r="E24" s="45">
        <f>IF(SUM(B24:D24)=0,0,SUM(B24:D24)/'Resid Cust Fcst '!AD25)</f>
        <v>0</v>
      </c>
      <c r="F24" s="137">
        <f>'Resid Cust Fcst '!$AE25*'Resid TSM UC Adj'!J24</f>
        <v>0</v>
      </c>
      <c r="G24" s="23">
        <f>'Resid Cust Fcst '!$AE25*'Resid TSM UC Adj'!K24</f>
        <v>0</v>
      </c>
      <c r="H24" s="23">
        <f>'Resid Cust Fcst '!$AE25*'Resid TSM UC Adj'!L24</f>
        <v>0</v>
      </c>
      <c r="I24" s="45">
        <f>IF(SUM(F24:H24)=0,0,SUM(F24:H24)/'Resid Cust Fcst '!AE25)</f>
        <v>0</v>
      </c>
      <c r="J24" s="137">
        <f>'Resid Cust Fcst '!$AF25*'Resid TSM UC Adj'!J24</f>
        <v>0</v>
      </c>
      <c r="K24" s="23">
        <f>'Resid Cust Fcst '!$AF25*'Resid TSM UC Adj'!K24</f>
        <v>0</v>
      </c>
      <c r="L24" s="23">
        <f>'Resid Cust Fcst '!$AF25*'Resid TSM UC Adj'!L24</f>
        <v>0</v>
      </c>
      <c r="M24" s="45">
        <f>IF(SUM(J24:L24)=0,0,SUM(J24:L24)/'Resid Cust Fcst '!AF25)</f>
        <v>0</v>
      </c>
      <c r="N24" s="137">
        <f>'Resid Cust Fcst '!$AG25*'Resid TSM UC Adj'!N24</f>
        <v>0</v>
      </c>
      <c r="O24" s="23">
        <f>'Resid Cust Fcst '!$AG25*'Resid TSM UC Adj'!O24</f>
        <v>0</v>
      </c>
      <c r="P24" s="23">
        <f>'Resid Cust Fcst '!$AG25*'Resid TSM UC Adj'!P24</f>
        <v>0</v>
      </c>
      <c r="Q24" s="45">
        <f>IF(SUM(N24:P24)=0,0,SUM(N24:P24)/'Resid Cust Fcst '!AG25)</f>
        <v>0</v>
      </c>
      <c r="R24" s="137">
        <f t="shared" si="2"/>
        <v>0</v>
      </c>
      <c r="S24" s="23">
        <f t="shared" si="4"/>
        <v>0</v>
      </c>
      <c r="T24" s="23">
        <f t="shared" si="5"/>
        <v>0</v>
      </c>
      <c r="U24" s="45">
        <f>IF(SUM(R24:T24)=0,0,SUM(R24:T24)/'Resid Cust Fcst '!AH25)</f>
        <v>0</v>
      </c>
      <c r="V24" s="137">
        <f>'Resid Cust Fcst '!$AI25*'Resid TSM UC Adj'!R24</f>
        <v>0</v>
      </c>
      <c r="W24" s="23">
        <f>'Resid Cust Fcst '!$AI25*'Resid TSM UC Adj'!S24</f>
        <v>0</v>
      </c>
      <c r="X24" s="23">
        <f>'Resid Cust Fcst '!$AI25*'Resid TSM UC Adj'!T24</f>
        <v>0</v>
      </c>
      <c r="Y24" s="45">
        <f>IF(SUM(V24:X24)=0,0,SUM(V24:X24)/'Resid Cust Fcst '!AI25)</f>
        <v>0</v>
      </c>
      <c r="Z24" s="137">
        <f t="shared" si="3"/>
        <v>0</v>
      </c>
      <c r="AA24" s="23">
        <f t="shared" si="6"/>
        <v>0</v>
      </c>
      <c r="AB24" s="23">
        <f t="shared" si="7"/>
        <v>0</v>
      </c>
      <c r="AC24" s="45">
        <f>IF(SUM(Z24:AB24)=0,0,SUM(Z24:AB24)/'Resid Cust Fcst '!AJ25)</f>
        <v>0</v>
      </c>
    </row>
    <row r="25" spans="1:29">
      <c r="A25" s="153" t="s">
        <v>17</v>
      </c>
      <c r="B25" s="137">
        <f>'Resid Cust Fcst '!$AD26*'Resid TSM UC Adj'!J25</f>
        <v>0</v>
      </c>
      <c r="C25" s="23">
        <f>'Resid Cust Fcst '!$AD26*'Resid TSM UC Adj'!K25</f>
        <v>0</v>
      </c>
      <c r="D25" s="23">
        <f>'Resid Cust Fcst '!$AD26*'Resid TSM UC Adj'!L25</f>
        <v>0</v>
      </c>
      <c r="E25" s="45">
        <f>IF(SUM(B25:D25)=0,0,SUM(B25:D25)/'Resid Cust Fcst '!AD26)</f>
        <v>0</v>
      </c>
      <c r="F25" s="137">
        <f>'Resid Cust Fcst '!$AE26*'Resid TSM UC Adj'!J25</f>
        <v>0</v>
      </c>
      <c r="G25" s="23">
        <f>'Resid Cust Fcst '!$AE26*'Resid TSM UC Adj'!K25</f>
        <v>0</v>
      </c>
      <c r="H25" s="23">
        <f>'Resid Cust Fcst '!$AE26*'Resid TSM UC Adj'!L25</f>
        <v>0</v>
      </c>
      <c r="I25" s="45">
        <f>IF(SUM(F25:H25)=0,0,SUM(F25:H25)/'Resid Cust Fcst '!AE26)</f>
        <v>0</v>
      </c>
      <c r="J25" s="137">
        <f>'Resid Cust Fcst '!$AF26*'Resid TSM UC Adj'!J25</f>
        <v>0</v>
      </c>
      <c r="K25" s="23">
        <f>'Resid Cust Fcst '!$AF26*'Resid TSM UC Adj'!K25</f>
        <v>0</v>
      </c>
      <c r="L25" s="23">
        <f>'Resid Cust Fcst '!$AF26*'Resid TSM UC Adj'!L25</f>
        <v>0</v>
      </c>
      <c r="M25" s="45">
        <f>IF(SUM(J25:L25)=0,0,SUM(J25:L25)/'Resid Cust Fcst '!AF26)</f>
        <v>0</v>
      </c>
      <c r="N25" s="137">
        <f>'Resid Cust Fcst '!$AG26*'Resid TSM UC Adj'!N25</f>
        <v>0</v>
      </c>
      <c r="O25" s="23">
        <f>'Resid Cust Fcst '!$AG26*'Resid TSM UC Adj'!O25</f>
        <v>0</v>
      </c>
      <c r="P25" s="23">
        <f>'Resid Cust Fcst '!$AG26*'Resid TSM UC Adj'!P25</f>
        <v>0</v>
      </c>
      <c r="Q25" s="45">
        <f>IF(SUM(N25:P25)=0,0,SUM(N25:P25)/'Resid Cust Fcst '!AG26)</f>
        <v>0</v>
      </c>
      <c r="R25" s="137">
        <f t="shared" si="2"/>
        <v>0</v>
      </c>
      <c r="S25" s="23">
        <f t="shared" si="4"/>
        <v>0</v>
      </c>
      <c r="T25" s="23">
        <f t="shared" si="5"/>
        <v>0</v>
      </c>
      <c r="U25" s="45">
        <f>IF(SUM(R25:T25)=0,0,SUM(R25:T25)/'Resid Cust Fcst '!AH26)</f>
        <v>0</v>
      </c>
      <c r="V25" s="137">
        <f>'Resid Cust Fcst '!$AI26*'Resid TSM UC Adj'!R25</f>
        <v>0</v>
      </c>
      <c r="W25" s="23">
        <f>'Resid Cust Fcst '!$AI26*'Resid TSM UC Adj'!S25</f>
        <v>0</v>
      </c>
      <c r="X25" s="23">
        <f>'Resid Cust Fcst '!$AI26*'Resid TSM UC Adj'!T25</f>
        <v>0</v>
      </c>
      <c r="Y25" s="45">
        <f>IF(SUM(V25:X25)=0,0,SUM(V25:X25)/'Resid Cust Fcst '!AI26)</f>
        <v>0</v>
      </c>
      <c r="Z25" s="137">
        <f t="shared" si="3"/>
        <v>0</v>
      </c>
      <c r="AA25" s="23">
        <f t="shared" si="6"/>
        <v>0</v>
      </c>
      <c r="AB25" s="23">
        <f t="shared" si="7"/>
        <v>0</v>
      </c>
      <c r="AC25" s="45">
        <f>IF(SUM(Z25:AB25)=0,0,SUM(Z25:AB25)/'Resid Cust Fcst '!AJ26)</f>
        <v>0</v>
      </c>
    </row>
    <row r="26" spans="1:29">
      <c r="A26" s="153" t="s">
        <v>18</v>
      </c>
      <c r="B26" s="137">
        <f>'Resid Cust Fcst '!$AD27*'Resid TSM UC Adj'!J26</f>
        <v>0</v>
      </c>
      <c r="C26" s="23">
        <f>'Resid Cust Fcst '!$AD27*'Resid TSM UC Adj'!K26</f>
        <v>0</v>
      </c>
      <c r="D26" s="23">
        <f>'Resid Cust Fcst '!$AD27*'Resid TSM UC Adj'!L26</f>
        <v>0</v>
      </c>
      <c r="E26" s="45">
        <f>IF(SUM(B26:D26)=0,0,SUM(B26:D26)/'Resid Cust Fcst '!AD27)</f>
        <v>0</v>
      </c>
      <c r="F26" s="137">
        <f>'Resid Cust Fcst '!$AE27*'Resid TSM UC Adj'!J26</f>
        <v>0</v>
      </c>
      <c r="G26" s="23">
        <f>'Resid Cust Fcst '!$AE27*'Resid TSM UC Adj'!K26</f>
        <v>0</v>
      </c>
      <c r="H26" s="23">
        <f>'Resid Cust Fcst '!$AE27*'Resid TSM UC Adj'!L26</f>
        <v>0</v>
      </c>
      <c r="I26" s="45">
        <f>IF(SUM(F26:H26)=0,0,SUM(F26:H26)/'Resid Cust Fcst '!AE27)</f>
        <v>0</v>
      </c>
      <c r="J26" s="137">
        <f>'Resid Cust Fcst '!$AF27*'Resid TSM UC Adj'!J26</f>
        <v>0</v>
      </c>
      <c r="K26" s="23">
        <f>'Resid Cust Fcst '!$AF27*'Resid TSM UC Adj'!K26</f>
        <v>0</v>
      </c>
      <c r="L26" s="23">
        <f>'Resid Cust Fcst '!$AF27*'Resid TSM UC Adj'!L26</f>
        <v>0</v>
      </c>
      <c r="M26" s="45">
        <f>IF(SUM(J26:L26)=0,0,SUM(J26:L26)/'Resid Cust Fcst '!AF27)</f>
        <v>0</v>
      </c>
      <c r="N26" s="137">
        <f>'Resid Cust Fcst '!$AG27*'Resid TSM UC Adj'!N26</f>
        <v>0</v>
      </c>
      <c r="O26" s="23">
        <f>'Resid Cust Fcst '!$AG27*'Resid TSM UC Adj'!O26</f>
        <v>0</v>
      </c>
      <c r="P26" s="23">
        <f>'Resid Cust Fcst '!$AG27*'Resid TSM UC Adj'!P26</f>
        <v>0</v>
      </c>
      <c r="Q26" s="45">
        <f>IF(SUM(N26:P26)=0,0,SUM(N26:P26)/'Resid Cust Fcst '!AG27)</f>
        <v>0</v>
      </c>
      <c r="R26" s="137">
        <f t="shared" si="2"/>
        <v>0</v>
      </c>
      <c r="S26" s="23">
        <f t="shared" si="4"/>
        <v>0</v>
      </c>
      <c r="T26" s="23">
        <f t="shared" si="5"/>
        <v>0</v>
      </c>
      <c r="U26" s="45">
        <f>IF(SUM(R26:T26)=0,0,SUM(R26:T26)/'Resid Cust Fcst '!AH27)</f>
        <v>0</v>
      </c>
      <c r="V26" s="137">
        <f>'Resid Cust Fcst '!$AI27*'Resid TSM UC Adj'!R26</f>
        <v>0</v>
      </c>
      <c r="W26" s="23">
        <f>'Resid Cust Fcst '!$AI27*'Resid TSM UC Adj'!S26</f>
        <v>0</v>
      </c>
      <c r="X26" s="23">
        <f>'Resid Cust Fcst '!$AI27*'Resid TSM UC Adj'!T26</f>
        <v>0</v>
      </c>
      <c r="Y26" s="45">
        <f>IF(SUM(V26:X26)=0,0,SUM(V26:X26)/'Resid Cust Fcst '!AI27)</f>
        <v>0</v>
      </c>
      <c r="Z26" s="137">
        <f t="shared" si="3"/>
        <v>0</v>
      </c>
      <c r="AA26" s="23">
        <f t="shared" si="6"/>
        <v>0</v>
      </c>
      <c r="AB26" s="23">
        <f t="shared" si="7"/>
        <v>0</v>
      </c>
      <c r="AC26" s="45">
        <f>IF(SUM(Z26:AB26)=0,0,SUM(Z26:AB26)/'Resid Cust Fcst '!AJ27)</f>
        <v>0</v>
      </c>
    </row>
    <row r="27" spans="1:29">
      <c r="A27" s="153" t="s">
        <v>19</v>
      </c>
      <c r="B27" s="137">
        <f>'Resid Cust Fcst '!$AD28*'Resid TSM UC Adj'!J27</f>
        <v>0</v>
      </c>
      <c r="C27" s="23">
        <f>'Resid Cust Fcst '!$AD28*'Resid TSM UC Adj'!K27</f>
        <v>0</v>
      </c>
      <c r="D27" s="23">
        <f>'Resid Cust Fcst '!$AD28*'Resid TSM UC Adj'!L27</f>
        <v>0</v>
      </c>
      <c r="E27" s="45">
        <f>IF(SUM(B27:D27)=0,0,SUM(B27:D27)/'Resid Cust Fcst '!AD28)</f>
        <v>0</v>
      </c>
      <c r="F27" s="137">
        <f>'Resid Cust Fcst '!$AE28*'Resid TSM UC Adj'!J27</f>
        <v>0</v>
      </c>
      <c r="G27" s="23">
        <f>'Resid Cust Fcst '!$AE28*'Resid TSM UC Adj'!K27</f>
        <v>0</v>
      </c>
      <c r="H27" s="23">
        <f>'Resid Cust Fcst '!$AE28*'Resid TSM UC Adj'!L27</f>
        <v>0</v>
      </c>
      <c r="I27" s="45">
        <f>IF(SUM(F27:H27)=0,0,SUM(F27:H27)/'Resid Cust Fcst '!AE28)</f>
        <v>0</v>
      </c>
      <c r="J27" s="137">
        <f>'Resid Cust Fcst '!$AF28*'Resid TSM UC Adj'!J27</f>
        <v>0</v>
      </c>
      <c r="K27" s="23">
        <f>'Resid Cust Fcst '!$AF28*'Resid TSM UC Adj'!K27</f>
        <v>0</v>
      </c>
      <c r="L27" s="23">
        <f>'Resid Cust Fcst '!$AF28*'Resid TSM UC Adj'!L27</f>
        <v>0</v>
      </c>
      <c r="M27" s="45">
        <f>IF(SUM(J27:L27)=0,0,SUM(J27:L27)/'Resid Cust Fcst '!AF28)</f>
        <v>0</v>
      </c>
      <c r="N27" s="137">
        <f>'Resid Cust Fcst '!$AG28*'Resid TSM UC Adj'!N27</f>
        <v>0</v>
      </c>
      <c r="O27" s="23">
        <f>'Resid Cust Fcst '!$AG28*'Resid TSM UC Adj'!O27</f>
        <v>0</v>
      </c>
      <c r="P27" s="23">
        <f>'Resid Cust Fcst '!$AG28*'Resid TSM UC Adj'!P27</f>
        <v>0</v>
      </c>
      <c r="Q27" s="45">
        <f>IF(SUM(N27:P27)=0,0,SUM(N27:P27)/'Resid Cust Fcst '!AG28)</f>
        <v>0</v>
      </c>
      <c r="R27" s="137">
        <f t="shared" si="2"/>
        <v>0</v>
      </c>
      <c r="S27" s="23">
        <f t="shared" si="4"/>
        <v>0</v>
      </c>
      <c r="T27" s="23">
        <f t="shared" si="5"/>
        <v>0</v>
      </c>
      <c r="U27" s="45">
        <f>IF(SUM(R27:T27)=0,0,SUM(R27:T27)/'Resid Cust Fcst '!AH28)</f>
        <v>0</v>
      </c>
      <c r="V27" s="137">
        <f>'Resid Cust Fcst '!$AI28*'Resid TSM UC Adj'!R27</f>
        <v>0</v>
      </c>
      <c r="W27" s="23">
        <f>'Resid Cust Fcst '!$AI28*'Resid TSM UC Adj'!S27</f>
        <v>0</v>
      </c>
      <c r="X27" s="23">
        <f>'Resid Cust Fcst '!$AI28*'Resid TSM UC Adj'!T27</f>
        <v>0</v>
      </c>
      <c r="Y27" s="45">
        <f>IF(SUM(V27:X27)=0,0,SUM(V27:X27)/'Resid Cust Fcst '!AI28)</f>
        <v>0</v>
      </c>
      <c r="Z27" s="137">
        <f t="shared" si="3"/>
        <v>0</v>
      </c>
      <c r="AA27" s="23">
        <f t="shared" si="6"/>
        <v>0</v>
      </c>
      <c r="AB27" s="23">
        <f t="shared" si="7"/>
        <v>0</v>
      </c>
      <c r="AC27" s="45">
        <f>IF(SUM(Z27:AB27)=0,0,SUM(Z27:AB27)/'Resid Cust Fcst '!AJ28)</f>
        <v>0</v>
      </c>
    </row>
    <row r="28" spans="1:29">
      <c r="A28" s="153" t="s">
        <v>20</v>
      </c>
      <c r="B28" s="137">
        <f>'Resid Cust Fcst '!$AD29*'Resid TSM UC Adj'!J28</f>
        <v>0</v>
      </c>
      <c r="C28" s="23">
        <f>'Resid Cust Fcst '!$AD29*'Resid TSM UC Adj'!K28</f>
        <v>0</v>
      </c>
      <c r="D28" s="23">
        <f>'Resid Cust Fcst '!$AD29*'Resid TSM UC Adj'!L28</f>
        <v>0</v>
      </c>
      <c r="E28" s="45">
        <f>IF(SUM(B28:D28)=0,0,SUM(B28:D28)/'Resid Cust Fcst '!AD29)</f>
        <v>0</v>
      </c>
      <c r="F28" s="137">
        <f>'Resid Cust Fcst '!$AE29*'Resid TSM UC Adj'!J28</f>
        <v>0</v>
      </c>
      <c r="G28" s="23">
        <f>'Resid Cust Fcst '!$AE29*'Resid TSM UC Adj'!K28</f>
        <v>0</v>
      </c>
      <c r="H28" s="23">
        <f>'Resid Cust Fcst '!$AE29*'Resid TSM UC Adj'!L28</f>
        <v>0</v>
      </c>
      <c r="I28" s="45">
        <f>IF(SUM(F28:H28)=0,0,SUM(F28:H28)/'Resid Cust Fcst '!AE29)</f>
        <v>0</v>
      </c>
      <c r="J28" s="137">
        <f>'Resid Cust Fcst '!$AF29*'Resid TSM UC Adj'!J28</f>
        <v>0</v>
      </c>
      <c r="K28" s="23">
        <f>'Resid Cust Fcst '!$AF29*'Resid TSM UC Adj'!K28</f>
        <v>0</v>
      </c>
      <c r="L28" s="23">
        <f>'Resid Cust Fcst '!$AF29*'Resid TSM UC Adj'!L28</f>
        <v>0</v>
      </c>
      <c r="M28" s="45">
        <f>IF(SUM(J28:L28)=0,0,SUM(J28:L28)/'Resid Cust Fcst '!AF29)</f>
        <v>0</v>
      </c>
      <c r="N28" s="137">
        <f>'Resid Cust Fcst '!$AG29*'Resid TSM UC Adj'!N28</f>
        <v>0</v>
      </c>
      <c r="O28" s="23">
        <f>'Resid Cust Fcst '!$AG29*'Resid TSM UC Adj'!O28</f>
        <v>0</v>
      </c>
      <c r="P28" s="23">
        <f>'Resid Cust Fcst '!$AG29*'Resid TSM UC Adj'!P28</f>
        <v>0</v>
      </c>
      <c r="Q28" s="45">
        <f>IF(SUM(N28:P28)=0,0,SUM(N28:P28)/'Resid Cust Fcst '!AG29)</f>
        <v>0</v>
      </c>
      <c r="R28" s="137">
        <f t="shared" si="2"/>
        <v>0</v>
      </c>
      <c r="S28" s="23">
        <f t="shared" si="4"/>
        <v>0</v>
      </c>
      <c r="T28" s="23">
        <f t="shared" si="5"/>
        <v>0</v>
      </c>
      <c r="U28" s="45">
        <f>IF(SUM(R28:T28)=0,0,SUM(R28:T28)/'Resid Cust Fcst '!AH29)</f>
        <v>0</v>
      </c>
      <c r="V28" s="137">
        <f>'Resid Cust Fcst '!$AI29*'Resid TSM UC Adj'!R28</f>
        <v>0</v>
      </c>
      <c r="W28" s="23">
        <f>'Resid Cust Fcst '!$AI29*'Resid TSM UC Adj'!S28</f>
        <v>0</v>
      </c>
      <c r="X28" s="23">
        <f>'Resid Cust Fcst '!$AI29*'Resid TSM UC Adj'!T28</f>
        <v>0</v>
      </c>
      <c r="Y28" s="45">
        <f>IF(SUM(V28:X28)=0,0,SUM(V28:X28)/'Resid Cust Fcst '!AI29)</f>
        <v>0</v>
      </c>
      <c r="Z28" s="137">
        <f t="shared" si="3"/>
        <v>0</v>
      </c>
      <c r="AA28" s="23">
        <f t="shared" si="6"/>
        <v>0</v>
      </c>
      <c r="AB28" s="23">
        <f t="shared" si="7"/>
        <v>0</v>
      </c>
      <c r="AC28" s="45">
        <f>IF(SUM(Z28:AB28)=0,0,SUM(Z28:AB28)/'Resid Cust Fcst '!AJ29)</f>
        <v>0</v>
      </c>
    </row>
    <row r="29" spans="1:29">
      <c r="A29" s="153" t="s">
        <v>21</v>
      </c>
      <c r="B29" s="137">
        <f>'Resid Cust Fcst '!$AD30*'Resid TSM UC Adj'!J29</f>
        <v>0</v>
      </c>
      <c r="C29" s="23">
        <f>'Resid Cust Fcst '!$AD30*'Resid TSM UC Adj'!K29</f>
        <v>0</v>
      </c>
      <c r="D29" s="23">
        <f>'Resid Cust Fcst '!$AD30*'Resid TSM UC Adj'!L29</f>
        <v>0</v>
      </c>
      <c r="E29" s="45">
        <f>IF(SUM(B29:D29)=0,0,SUM(B29:D29)/'Resid Cust Fcst '!AD30)</f>
        <v>0</v>
      </c>
      <c r="F29" s="137">
        <f>'Resid Cust Fcst '!$AE30*'Resid TSM UC Adj'!J29</f>
        <v>0</v>
      </c>
      <c r="G29" s="23">
        <f>'Resid Cust Fcst '!$AE30*'Resid TSM UC Adj'!K29</f>
        <v>0</v>
      </c>
      <c r="H29" s="23">
        <f>'Resid Cust Fcst '!$AE30*'Resid TSM UC Adj'!L29</f>
        <v>0</v>
      </c>
      <c r="I29" s="45">
        <f>IF(SUM(F29:H29)=0,0,SUM(F29:H29)/'Resid Cust Fcst '!AE30)</f>
        <v>0</v>
      </c>
      <c r="J29" s="137">
        <f>'Resid Cust Fcst '!$AF30*'Resid TSM UC Adj'!J29</f>
        <v>0</v>
      </c>
      <c r="K29" s="23">
        <f>'Resid Cust Fcst '!$AF30*'Resid TSM UC Adj'!K29</f>
        <v>0</v>
      </c>
      <c r="L29" s="23">
        <f>'Resid Cust Fcst '!$AF30*'Resid TSM UC Adj'!L29</f>
        <v>0</v>
      </c>
      <c r="M29" s="45">
        <f>IF(SUM(J29:L29)=0,0,SUM(J29:L29)/'Resid Cust Fcst '!AF30)</f>
        <v>0</v>
      </c>
      <c r="N29" s="137">
        <f>'Resid Cust Fcst '!$AG30*'Resid TSM UC Adj'!N29</f>
        <v>0</v>
      </c>
      <c r="O29" s="23">
        <f>'Resid Cust Fcst '!$AG30*'Resid TSM UC Adj'!O29</f>
        <v>0</v>
      </c>
      <c r="P29" s="23">
        <f>'Resid Cust Fcst '!$AG30*'Resid TSM UC Adj'!P29</f>
        <v>0</v>
      </c>
      <c r="Q29" s="45">
        <f>IF(SUM(N29:P29)=0,0,SUM(N29:P29)/'Resid Cust Fcst '!AG30)</f>
        <v>0</v>
      </c>
      <c r="R29" s="137">
        <f t="shared" si="2"/>
        <v>0</v>
      </c>
      <c r="S29" s="23">
        <f t="shared" si="4"/>
        <v>0</v>
      </c>
      <c r="T29" s="23">
        <f t="shared" si="5"/>
        <v>0</v>
      </c>
      <c r="U29" s="45">
        <f>IF(SUM(R29:T29)=0,0,SUM(R29:T29)/'Resid Cust Fcst '!AH30)</f>
        <v>0</v>
      </c>
      <c r="V29" s="137">
        <f>'Resid Cust Fcst '!$AI30*'Resid TSM UC Adj'!R29</f>
        <v>0</v>
      </c>
      <c r="W29" s="23">
        <f>'Resid Cust Fcst '!$AI30*'Resid TSM UC Adj'!S29</f>
        <v>0</v>
      </c>
      <c r="X29" s="23">
        <f>'Resid Cust Fcst '!$AI30*'Resid TSM UC Adj'!T29</f>
        <v>0</v>
      </c>
      <c r="Y29" s="45">
        <f>IF(SUM(V29:X29)=0,0,SUM(V29:X29)/'Resid Cust Fcst '!AI30)</f>
        <v>0</v>
      </c>
      <c r="Z29" s="137">
        <f t="shared" si="3"/>
        <v>0</v>
      </c>
      <c r="AA29" s="23">
        <f t="shared" si="6"/>
        <v>0</v>
      </c>
      <c r="AB29" s="23">
        <f t="shared" si="7"/>
        <v>0</v>
      </c>
      <c r="AC29" s="45">
        <f>IF(SUM(Z29:AB29)=0,0,SUM(Z29:AB29)/'Resid Cust Fcst '!AJ30)</f>
        <v>0</v>
      </c>
    </row>
    <row r="30" spans="1:29">
      <c r="A30" s="153" t="s">
        <v>22</v>
      </c>
      <c r="B30" s="137">
        <f>'Resid Cust Fcst '!$AD31*'Resid TSM UC Adj'!J30</f>
        <v>0</v>
      </c>
      <c r="C30" s="23">
        <f>'Resid Cust Fcst '!$AD31*'Resid TSM UC Adj'!K30</f>
        <v>0</v>
      </c>
      <c r="D30" s="23">
        <f>'Resid Cust Fcst '!$AD31*'Resid TSM UC Adj'!L30</f>
        <v>0</v>
      </c>
      <c r="E30" s="45">
        <f>IF(SUM(B30:D30)=0,0,SUM(B30:D30)/'Resid Cust Fcst '!AD31)</f>
        <v>0</v>
      </c>
      <c r="F30" s="137">
        <f>'Resid Cust Fcst '!$AE31*'Resid TSM UC Adj'!J30</f>
        <v>0</v>
      </c>
      <c r="G30" s="23">
        <f>'Resid Cust Fcst '!$AE31*'Resid TSM UC Adj'!K30</f>
        <v>0</v>
      </c>
      <c r="H30" s="23">
        <f>'Resid Cust Fcst '!$AE31*'Resid TSM UC Adj'!L30</f>
        <v>0</v>
      </c>
      <c r="I30" s="45">
        <f>IF(SUM(F30:H30)=0,0,SUM(F30:H30)/'Resid Cust Fcst '!AE31)</f>
        <v>0</v>
      </c>
      <c r="J30" s="137">
        <f>'Resid Cust Fcst '!$AF31*'Resid TSM UC Adj'!J30</f>
        <v>0</v>
      </c>
      <c r="K30" s="23">
        <f>'Resid Cust Fcst '!$AF31*'Resid TSM UC Adj'!K30</f>
        <v>0</v>
      </c>
      <c r="L30" s="23">
        <f>'Resid Cust Fcst '!$AF31*'Resid TSM UC Adj'!L30</f>
        <v>0</v>
      </c>
      <c r="M30" s="45">
        <f>IF(SUM(J30:L30)=0,0,SUM(J30:L30)/'Resid Cust Fcst '!AF31)</f>
        <v>0</v>
      </c>
      <c r="N30" s="137">
        <f>'Resid Cust Fcst '!$AG31*'Resid TSM UC Adj'!N30</f>
        <v>0</v>
      </c>
      <c r="O30" s="23">
        <f>'Resid Cust Fcst '!$AG31*'Resid TSM UC Adj'!O30</f>
        <v>0</v>
      </c>
      <c r="P30" s="23">
        <f>'Resid Cust Fcst '!$AG31*'Resid TSM UC Adj'!P30</f>
        <v>0</v>
      </c>
      <c r="Q30" s="45">
        <f>IF(SUM(N30:P30)=0,0,SUM(N30:P30)/'Resid Cust Fcst '!AG31)</f>
        <v>0</v>
      </c>
      <c r="R30" s="137">
        <f t="shared" si="2"/>
        <v>0</v>
      </c>
      <c r="S30" s="23">
        <f t="shared" si="4"/>
        <v>0</v>
      </c>
      <c r="T30" s="23">
        <f t="shared" si="5"/>
        <v>0</v>
      </c>
      <c r="U30" s="45">
        <f>IF(SUM(R30:T30)=0,0,SUM(R30:T30)/'Resid Cust Fcst '!AH31)</f>
        <v>0</v>
      </c>
      <c r="V30" s="137">
        <f>'Resid Cust Fcst '!$AI31*'Resid TSM UC Adj'!R30</f>
        <v>0</v>
      </c>
      <c r="W30" s="23">
        <f>'Resid Cust Fcst '!$AI31*'Resid TSM UC Adj'!S30</f>
        <v>0</v>
      </c>
      <c r="X30" s="23">
        <f>'Resid Cust Fcst '!$AI31*'Resid TSM UC Adj'!T30</f>
        <v>0</v>
      </c>
      <c r="Y30" s="45">
        <f>IF(SUM(V30:X30)=0,0,SUM(V30:X30)/'Resid Cust Fcst '!AI31)</f>
        <v>0</v>
      </c>
      <c r="Z30" s="137">
        <f t="shared" si="3"/>
        <v>0</v>
      </c>
      <c r="AA30" s="23">
        <f t="shared" si="6"/>
        <v>0</v>
      </c>
      <c r="AB30" s="23">
        <f t="shared" si="7"/>
        <v>0</v>
      </c>
      <c r="AC30" s="45">
        <f>IF(SUM(Z30:AB30)=0,0,SUM(Z30:AB30)/'Resid Cust Fcst '!AJ31)</f>
        <v>0</v>
      </c>
    </row>
    <row r="31" spans="1:29">
      <c r="A31" s="153" t="s">
        <v>23</v>
      </c>
      <c r="B31" s="137">
        <f>'Resid Cust Fcst '!$AD32*'Resid TSM UC Adj'!J31</f>
        <v>0</v>
      </c>
      <c r="C31" s="23">
        <f>'Resid Cust Fcst '!$AD32*'Resid TSM UC Adj'!K31</f>
        <v>0</v>
      </c>
      <c r="D31" s="23">
        <f>'Resid Cust Fcst '!$AD32*'Resid TSM UC Adj'!L31</f>
        <v>0</v>
      </c>
      <c r="E31" s="45">
        <f>IF(SUM(B31:D31)=0,0,SUM(B31:D31)/'Resid Cust Fcst '!AD32)</f>
        <v>0</v>
      </c>
      <c r="F31" s="137">
        <f>'Resid Cust Fcst '!$AE32*'Resid TSM UC Adj'!J31</f>
        <v>0</v>
      </c>
      <c r="G31" s="23">
        <f>'Resid Cust Fcst '!$AE32*'Resid TSM UC Adj'!K31</f>
        <v>0</v>
      </c>
      <c r="H31" s="23">
        <f>'Resid Cust Fcst '!$AE32*'Resid TSM UC Adj'!L31</f>
        <v>0</v>
      </c>
      <c r="I31" s="45">
        <f>IF(SUM(F31:H31)=0,0,SUM(F31:H31)/'Resid Cust Fcst '!AE32)</f>
        <v>0</v>
      </c>
      <c r="J31" s="137">
        <f>'Resid Cust Fcst '!$AF32*'Resid TSM UC Adj'!J31</f>
        <v>0</v>
      </c>
      <c r="K31" s="23">
        <f>'Resid Cust Fcst '!$AF32*'Resid TSM UC Adj'!K31</f>
        <v>0</v>
      </c>
      <c r="L31" s="23">
        <f>'Resid Cust Fcst '!$AF32*'Resid TSM UC Adj'!L31</f>
        <v>0</v>
      </c>
      <c r="M31" s="45">
        <f>IF(SUM(J31:L31)=0,0,SUM(J31:L31)/'Resid Cust Fcst '!AF32)</f>
        <v>0</v>
      </c>
      <c r="N31" s="137">
        <f>'Resid Cust Fcst '!$AG32*'Resid TSM UC Adj'!N31</f>
        <v>0</v>
      </c>
      <c r="O31" s="23">
        <f>'Resid Cust Fcst '!$AG32*'Resid TSM UC Adj'!O31</f>
        <v>0</v>
      </c>
      <c r="P31" s="23">
        <f>'Resid Cust Fcst '!$AG32*'Resid TSM UC Adj'!P31</f>
        <v>0</v>
      </c>
      <c r="Q31" s="45">
        <f>IF(SUM(N31:P31)=0,0,SUM(N31:P31)/'Resid Cust Fcst '!AG32)</f>
        <v>0</v>
      </c>
      <c r="R31" s="137">
        <f t="shared" si="2"/>
        <v>0</v>
      </c>
      <c r="S31" s="23">
        <f t="shared" si="4"/>
        <v>0</v>
      </c>
      <c r="T31" s="23">
        <f t="shared" si="5"/>
        <v>0</v>
      </c>
      <c r="U31" s="45">
        <f>IF(SUM(R31:T31)=0,0,SUM(R31:T31)/'Resid Cust Fcst '!AH32)</f>
        <v>0</v>
      </c>
      <c r="V31" s="137">
        <f>'Resid Cust Fcst '!$AI32*'Resid TSM UC Adj'!R31</f>
        <v>0</v>
      </c>
      <c r="W31" s="23">
        <f>'Resid Cust Fcst '!$AI32*'Resid TSM UC Adj'!S31</f>
        <v>0</v>
      </c>
      <c r="X31" s="23">
        <f>'Resid Cust Fcst '!$AI32*'Resid TSM UC Adj'!T31</f>
        <v>0</v>
      </c>
      <c r="Y31" s="45">
        <f>IF(SUM(V31:X31)=0,0,SUM(V31:X31)/'Resid Cust Fcst '!AI32)</f>
        <v>0</v>
      </c>
      <c r="Z31" s="137">
        <f t="shared" si="3"/>
        <v>0</v>
      </c>
      <c r="AA31" s="23">
        <f t="shared" si="6"/>
        <v>0</v>
      </c>
      <c r="AB31" s="23">
        <f t="shared" si="7"/>
        <v>0</v>
      </c>
      <c r="AC31" s="45">
        <f>IF(SUM(Z31:AB31)=0,0,SUM(Z31:AB31)/'Resid Cust Fcst '!AJ32)</f>
        <v>0</v>
      </c>
    </row>
    <row r="32" spans="1:29">
      <c r="A32" s="153" t="s">
        <v>24</v>
      </c>
      <c r="B32" s="137">
        <f>'Resid Cust Fcst '!$AD33*'Resid TSM UC Adj'!J32</f>
        <v>0</v>
      </c>
      <c r="C32" s="23">
        <f>'Resid Cust Fcst '!$AD33*'Resid TSM UC Adj'!K32</f>
        <v>0</v>
      </c>
      <c r="D32" s="23">
        <f>'Resid Cust Fcst '!$AD33*'Resid TSM UC Adj'!L32</f>
        <v>0</v>
      </c>
      <c r="E32" s="45">
        <f>IF(SUM(B32:D32)=0,0,SUM(B32:D32)/'Resid Cust Fcst '!AD33)</f>
        <v>0</v>
      </c>
      <c r="F32" s="137">
        <f>'Resid Cust Fcst '!$AE33*'Resid TSM UC Adj'!J32</f>
        <v>0</v>
      </c>
      <c r="G32" s="23">
        <f>'Resid Cust Fcst '!$AE33*'Resid TSM UC Adj'!K32</f>
        <v>0</v>
      </c>
      <c r="H32" s="23">
        <f>'Resid Cust Fcst '!$AE33*'Resid TSM UC Adj'!L32</f>
        <v>0</v>
      </c>
      <c r="I32" s="45">
        <f>IF(SUM(F32:H32)=0,0,SUM(F32:H32)/'Resid Cust Fcst '!AE33)</f>
        <v>0</v>
      </c>
      <c r="J32" s="137">
        <f>'Resid Cust Fcst '!$AF33*'Resid TSM UC Adj'!J32</f>
        <v>0</v>
      </c>
      <c r="K32" s="23">
        <f>'Resid Cust Fcst '!$AF33*'Resid TSM UC Adj'!K32</f>
        <v>0</v>
      </c>
      <c r="L32" s="23">
        <f>'Resid Cust Fcst '!$AF33*'Resid TSM UC Adj'!L32</f>
        <v>0</v>
      </c>
      <c r="M32" s="45">
        <f>IF(SUM(J32:L32)=0,0,SUM(J32:L32)/'Resid Cust Fcst '!AF33)</f>
        <v>0</v>
      </c>
      <c r="N32" s="137">
        <f>'Resid Cust Fcst '!$AG33*'Resid TSM UC Adj'!N32</f>
        <v>0</v>
      </c>
      <c r="O32" s="23">
        <f>'Resid Cust Fcst '!$AG33*'Resid TSM UC Adj'!O32</f>
        <v>0</v>
      </c>
      <c r="P32" s="23">
        <f>'Resid Cust Fcst '!$AG33*'Resid TSM UC Adj'!P32</f>
        <v>0</v>
      </c>
      <c r="Q32" s="45">
        <f>IF(SUM(N32:P32)=0,0,SUM(N32:P32)/'Resid Cust Fcst '!AG33)</f>
        <v>0</v>
      </c>
      <c r="R32" s="137">
        <f t="shared" si="2"/>
        <v>0</v>
      </c>
      <c r="S32" s="23">
        <f t="shared" si="4"/>
        <v>0</v>
      </c>
      <c r="T32" s="23">
        <f t="shared" si="5"/>
        <v>0</v>
      </c>
      <c r="U32" s="45">
        <f>IF(SUM(R32:T32)=0,0,SUM(R32:T32)/'Resid Cust Fcst '!AH33)</f>
        <v>0</v>
      </c>
      <c r="V32" s="137">
        <f>'Resid Cust Fcst '!$AI33*'Resid TSM UC Adj'!R32</f>
        <v>0</v>
      </c>
      <c r="W32" s="23">
        <f>'Resid Cust Fcst '!$AI33*'Resid TSM UC Adj'!S32</f>
        <v>0</v>
      </c>
      <c r="X32" s="23">
        <f>'Resid Cust Fcst '!$AI33*'Resid TSM UC Adj'!T32</f>
        <v>0</v>
      </c>
      <c r="Y32" s="45">
        <f>IF(SUM(V32:X32)=0,0,SUM(V32:X32)/'Resid Cust Fcst '!AI33)</f>
        <v>0</v>
      </c>
      <c r="Z32" s="137">
        <f t="shared" si="3"/>
        <v>0</v>
      </c>
      <c r="AA32" s="23">
        <f t="shared" si="6"/>
        <v>0</v>
      </c>
      <c r="AB32" s="23">
        <f t="shared" si="7"/>
        <v>0</v>
      </c>
      <c r="AC32" s="45">
        <f>IF(SUM(Z32:AB32)=0,0,SUM(Z32:AB32)/'Resid Cust Fcst '!AJ33)</f>
        <v>0</v>
      </c>
    </row>
    <row r="33" spans="1:29">
      <c r="A33" s="153" t="s">
        <v>25</v>
      </c>
      <c r="B33" s="137">
        <f>'Resid Cust Fcst '!$AD34*'Resid TSM UC Adj'!J33</f>
        <v>0</v>
      </c>
      <c r="C33" s="23">
        <f>'Resid Cust Fcst '!$AD34*'Resid TSM UC Adj'!K33</f>
        <v>0</v>
      </c>
      <c r="D33" s="23">
        <f>'Resid Cust Fcst '!$AD34*'Resid TSM UC Adj'!L33</f>
        <v>0</v>
      </c>
      <c r="E33" s="45">
        <f>IF(SUM(B33:D33)=0,0,SUM(B33:D33)/'Resid Cust Fcst '!AD34)</f>
        <v>0</v>
      </c>
      <c r="F33" s="137">
        <f>'Resid Cust Fcst '!$AE34*'Resid TSM UC Adj'!J33</f>
        <v>0</v>
      </c>
      <c r="G33" s="23">
        <f>'Resid Cust Fcst '!$AE34*'Resid TSM UC Adj'!K33</f>
        <v>0</v>
      </c>
      <c r="H33" s="23">
        <f>'Resid Cust Fcst '!$AE34*'Resid TSM UC Adj'!L33</f>
        <v>0</v>
      </c>
      <c r="I33" s="45">
        <f>IF(SUM(F33:H33)=0,0,SUM(F33:H33)/'Resid Cust Fcst '!AE34)</f>
        <v>0</v>
      </c>
      <c r="J33" s="137">
        <f>'Resid Cust Fcst '!$AF34*'Resid TSM UC Adj'!J33</f>
        <v>0</v>
      </c>
      <c r="K33" s="23">
        <f>'Resid Cust Fcst '!$AF34*'Resid TSM UC Adj'!K33</f>
        <v>0</v>
      </c>
      <c r="L33" s="23">
        <f>'Resid Cust Fcst '!$AF34*'Resid TSM UC Adj'!L33</f>
        <v>0</v>
      </c>
      <c r="M33" s="45">
        <f>IF(SUM(J33:L33)=0,0,SUM(J33:L33)/'Resid Cust Fcst '!AF34)</f>
        <v>0</v>
      </c>
      <c r="N33" s="137">
        <f>'Resid Cust Fcst '!$AG34*'Resid TSM UC Adj'!N33</f>
        <v>0</v>
      </c>
      <c r="O33" s="23">
        <f>'Resid Cust Fcst '!$AG34*'Resid TSM UC Adj'!O33</f>
        <v>0</v>
      </c>
      <c r="P33" s="23">
        <f>'Resid Cust Fcst '!$AG34*'Resid TSM UC Adj'!P33</f>
        <v>0</v>
      </c>
      <c r="Q33" s="45">
        <f>IF(SUM(N33:P33)=0,0,SUM(N33:P33)/'Resid Cust Fcst '!AG34)</f>
        <v>0</v>
      </c>
      <c r="R33" s="137">
        <f t="shared" si="2"/>
        <v>0</v>
      </c>
      <c r="S33" s="23">
        <f t="shared" si="4"/>
        <v>0</v>
      </c>
      <c r="T33" s="23">
        <f t="shared" si="5"/>
        <v>0</v>
      </c>
      <c r="U33" s="45">
        <f>IF(SUM(R33:T33)=0,0,SUM(R33:T33)/'Resid Cust Fcst '!AH34)</f>
        <v>0</v>
      </c>
      <c r="V33" s="137">
        <f>'Resid Cust Fcst '!$AI34*'Resid TSM UC Adj'!R33</f>
        <v>0</v>
      </c>
      <c r="W33" s="23">
        <f>'Resid Cust Fcst '!$AI34*'Resid TSM UC Adj'!S33</f>
        <v>0</v>
      </c>
      <c r="X33" s="23">
        <f>'Resid Cust Fcst '!$AI34*'Resid TSM UC Adj'!T33</f>
        <v>0</v>
      </c>
      <c r="Y33" s="45">
        <f>IF(SUM(V33:X33)=0,0,SUM(V33:X33)/'Resid Cust Fcst '!AI34)</f>
        <v>0</v>
      </c>
      <c r="Z33" s="137">
        <f t="shared" si="3"/>
        <v>0</v>
      </c>
      <c r="AA33" s="23">
        <f t="shared" si="6"/>
        <v>0</v>
      </c>
      <c r="AB33" s="23">
        <f t="shared" si="7"/>
        <v>0</v>
      </c>
      <c r="AC33" s="45">
        <f>IF(SUM(Z33:AB33)=0,0,SUM(Z33:AB33)/'Resid Cust Fcst '!AJ34)</f>
        <v>0</v>
      </c>
    </row>
    <row r="34" spans="1:29">
      <c r="A34" s="153" t="s">
        <v>125</v>
      </c>
      <c r="B34" s="137">
        <f>'Resid Cust Fcst '!$AD35*'Resid TSM UC Adj'!J34</f>
        <v>0</v>
      </c>
      <c r="C34" s="23">
        <f>'Resid Cust Fcst '!$AD35*'Resid TSM UC Adj'!K34</f>
        <v>0</v>
      </c>
      <c r="D34" s="23">
        <f>'Resid Cust Fcst '!$AD35*'Resid TSM UC Adj'!L34</f>
        <v>0</v>
      </c>
      <c r="E34" s="45">
        <f>IF(SUM(B34:D34)=0,0,SUM(B34:D34)/'Resid Cust Fcst '!AD35)</f>
        <v>0</v>
      </c>
      <c r="F34" s="137">
        <f>'Resid Cust Fcst '!$AE35*'Resid TSM UC Adj'!J34</f>
        <v>0</v>
      </c>
      <c r="G34" s="23">
        <f>'Resid Cust Fcst '!$AE35*'Resid TSM UC Adj'!K34</f>
        <v>0</v>
      </c>
      <c r="H34" s="23">
        <f>'Resid Cust Fcst '!$AE35*'Resid TSM UC Adj'!L34</f>
        <v>0</v>
      </c>
      <c r="I34" s="45">
        <f>IF(SUM(F34:H34)=0,0,SUM(F34:H34)/'Resid Cust Fcst '!AE35)</f>
        <v>0</v>
      </c>
      <c r="J34" s="137">
        <f>'Resid Cust Fcst '!$AF35*'Resid TSM UC Adj'!J34</f>
        <v>0</v>
      </c>
      <c r="K34" s="23">
        <f>'Resid Cust Fcst '!$AF35*'Resid TSM UC Adj'!K34</f>
        <v>0</v>
      </c>
      <c r="L34" s="23">
        <f>'Resid Cust Fcst '!$AF35*'Resid TSM UC Adj'!L34</f>
        <v>0</v>
      </c>
      <c r="M34" s="45">
        <f>IF(SUM(J34:L34)=0,0,SUM(J34:L34)/'Resid Cust Fcst '!AF35)</f>
        <v>0</v>
      </c>
      <c r="N34" s="137">
        <f>'Resid Cust Fcst '!$AG35*'Resid TSM UC Adj'!N34</f>
        <v>0</v>
      </c>
      <c r="O34" s="23">
        <f>'Resid Cust Fcst '!$AG35*'Resid TSM UC Adj'!O34</f>
        <v>0</v>
      </c>
      <c r="P34" s="23">
        <f>'Resid Cust Fcst '!$AG35*'Resid TSM UC Adj'!P34</f>
        <v>0</v>
      </c>
      <c r="Q34" s="45">
        <f>IF(SUM(N34:P34)=0,0,SUM(N34:P34)/'Resid Cust Fcst '!AG35)</f>
        <v>0</v>
      </c>
      <c r="R34" s="137">
        <f t="shared" si="2"/>
        <v>0</v>
      </c>
      <c r="S34" s="23">
        <f t="shared" si="4"/>
        <v>0</v>
      </c>
      <c r="T34" s="23">
        <f t="shared" si="5"/>
        <v>0</v>
      </c>
      <c r="U34" s="45">
        <f>IF(SUM(R34:T34)=0,0,SUM(R34:T34)/'Resid Cust Fcst '!AH35)</f>
        <v>0</v>
      </c>
      <c r="V34" s="137">
        <f>'Resid Cust Fcst '!$AI35*'Resid TSM UC Adj'!R34</f>
        <v>0</v>
      </c>
      <c r="W34" s="23">
        <f>'Resid Cust Fcst '!$AI35*'Resid TSM UC Adj'!S34</f>
        <v>0</v>
      </c>
      <c r="X34" s="23">
        <f>'Resid Cust Fcst '!$AI35*'Resid TSM UC Adj'!T34</f>
        <v>0</v>
      </c>
      <c r="Y34" s="45">
        <f>IF(SUM(V34:X34)=0,0,SUM(V34:X34)/'Resid Cust Fcst '!AI35)</f>
        <v>0</v>
      </c>
      <c r="Z34" s="137">
        <f t="shared" si="3"/>
        <v>0</v>
      </c>
      <c r="AA34" s="23">
        <f t="shared" si="6"/>
        <v>0</v>
      </c>
      <c r="AB34" s="23">
        <f t="shared" si="7"/>
        <v>0</v>
      </c>
      <c r="AC34" s="45">
        <f>IF(SUM(Z34:AB34)=0,0,SUM(Z34:AB34)/'Resid Cust Fcst '!AJ35)</f>
        <v>0</v>
      </c>
    </row>
    <row r="35" spans="1:29">
      <c r="A35" s="153" t="s">
        <v>126</v>
      </c>
      <c r="B35" s="137">
        <f>'Resid Cust Fcst '!$AD36*'Resid TSM UC Adj'!J35</f>
        <v>0</v>
      </c>
      <c r="C35" s="23">
        <f>'Resid Cust Fcst '!$AD36*'Resid TSM UC Adj'!K35</f>
        <v>0</v>
      </c>
      <c r="D35" s="23">
        <f>'Resid Cust Fcst '!$AD36*'Resid TSM UC Adj'!L35</f>
        <v>0</v>
      </c>
      <c r="E35" s="45">
        <f>IF(SUM(B35:D35)=0,0,SUM(B35:D35)/'Resid Cust Fcst '!AD36)</f>
        <v>0</v>
      </c>
      <c r="F35" s="137">
        <f>'Resid Cust Fcst '!$AE36*'Resid TSM UC Adj'!J35</f>
        <v>0</v>
      </c>
      <c r="G35" s="23">
        <f>'Resid Cust Fcst '!$AE36*'Resid TSM UC Adj'!K35</f>
        <v>0</v>
      </c>
      <c r="H35" s="23">
        <f>'Resid Cust Fcst '!$AE36*'Resid TSM UC Adj'!L35</f>
        <v>0</v>
      </c>
      <c r="I35" s="45">
        <f>IF(SUM(F35:H35)=0,0,SUM(F35:H35)/'Resid Cust Fcst '!AE36)</f>
        <v>0</v>
      </c>
      <c r="J35" s="137">
        <f>'Resid Cust Fcst '!$AF36*'Resid TSM UC Adj'!J35</f>
        <v>0</v>
      </c>
      <c r="K35" s="23">
        <f>'Resid Cust Fcst '!$AF36*'Resid TSM UC Adj'!K35</f>
        <v>0</v>
      </c>
      <c r="L35" s="23">
        <f>'Resid Cust Fcst '!$AF36*'Resid TSM UC Adj'!L35</f>
        <v>0</v>
      </c>
      <c r="M35" s="45">
        <f>IF(SUM(J35:L35)=0,0,SUM(J35:L35)/'Resid Cust Fcst '!AF36)</f>
        <v>0</v>
      </c>
      <c r="N35" s="137">
        <f>'Resid Cust Fcst '!$AG36*'Resid TSM UC Adj'!N35</f>
        <v>0</v>
      </c>
      <c r="O35" s="23">
        <f>'Resid Cust Fcst '!$AG36*'Resid TSM UC Adj'!O35</f>
        <v>0</v>
      </c>
      <c r="P35" s="23">
        <f>'Resid Cust Fcst '!$AG36*'Resid TSM UC Adj'!P35</f>
        <v>0</v>
      </c>
      <c r="Q35" s="45">
        <f>IF(SUM(N35:P35)=0,0,SUM(N35:P35)/'Resid Cust Fcst '!AG36)</f>
        <v>0</v>
      </c>
      <c r="R35" s="137">
        <f t="shared" si="2"/>
        <v>0</v>
      </c>
      <c r="S35" s="23">
        <f t="shared" si="4"/>
        <v>0</v>
      </c>
      <c r="T35" s="23">
        <f t="shared" si="5"/>
        <v>0</v>
      </c>
      <c r="U35" s="45">
        <f>IF(SUM(R35:T35)=0,0,SUM(R35:T35)/'Resid Cust Fcst '!AH36)</f>
        <v>0</v>
      </c>
      <c r="V35" s="137">
        <f>'Resid Cust Fcst '!$AI36*'Resid TSM UC Adj'!R35</f>
        <v>0</v>
      </c>
      <c r="W35" s="23">
        <f>'Resid Cust Fcst '!$AI36*'Resid TSM UC Adj'!S35</f>
        <v>0</v>
      </c>
      <c r="X35" s="23">
        <f>'Resid Cust Fcst '!$AI36*'Resid TSM UC Adj'!T35</f>
        <v>0</v>
      </c>
      <c r="Y35" s="45">
        <f>IF(SUM(V35:X35)=0,0,SUM(V35:X35)/'Resid Cust Fcst '!AI36)</f>
        <v>0</v>
      </c>
      <c r="Z35" s="137">
        <f t="shared" si="3"/>
        <v>0</v>
      </c>
      <c r="AA35" s="23">
        <f t="shared" si="6"/>
        <v>0</v>
      </c>
      <c r="AB35" s="23">
        <f t="shared" si="7"/>
        <v>0</v>
      </c>
      <c r="AC35" s="45">
        <f>IF(SUM(Z35:AB35)=0,0,SUM(Z35:AB35)/'Resid Cust Fcst '!AJ36)</f>
        <v>0</v>
      </c>
    </row>
    <row r="36" spans="1:29">
      <c r="A36" s="153" t="s">
        <v>26</v>
      </c>
      <c r="B36" s="137">
        <f>'Resid Cust Fcst '!$AD37*'Resid TSM UC Adj'!J36</f>
        <v>0</v>
      </c>
      <c r="C36" s="23">
        <f>'Resid Cust Fcst '!$AD37*'Resid TSM UC Adj'!K36</f>
        <v>0</v>
      </c>
      <c r="D36" s="23">
        <f>'Resid Cust Fcst '!$AD37*'Resid TSM UC Adj'!L36</f>
        <v>0</v>
      </c>
      <c r="E36" s="45">
        <f>IF(SUM(B36:D36)=0,0,SUM(B36:D36)/'Resid Cust Fcst '!AD37)</f>
        <v>0</v>
      </c>
      <c r="F36" s="137">
        <f>'Resid Cust Fcst '!$AE37*'Resid TSM UC Adj'!J36</f>
        <v>0</v>
      </c>
      <c r="G36" s="23">
        <f>'Resid Cust Fcst '!$AE37*'Resid TSM UC Adj'!K36</f>
        <v>0</v>
      </c>
      <c r="H36" s="23">
        <f>'Resid Cust Fcst '!$AE37*'Resid TSM UC Adj'!L36</f>
        <v>0</v>
      </c>
      <c r="I36" s="45">
        <f>IF(SUM(F36:H36)=0,0,SUM(F36:H36)/'Resid Cust Fcst '!AE37)</f>
        <v>0</v>
      </c>
      <c r="J36" s="137">
        <f>'Resid Cust Fcst '!$AF37*'Resid TSM UC Adj'!J36</f>
        <v>0</v>
      </c>
      <c r="K36" s="23">
        <f>'Resid Cust Fcst '!$AF37*'Resid TSM UC Adj'!K36</f>
        <v>0</v>
      </c>
      <c r="L36" s="23">
        <f>'Resid Cust Fcst '!$AF37*'Resid TSM UC Adj'!L36</f>
        <v>0</v>
      </c>
      <c r="M36" s="45">
        <f>IF(SUM(J36:L36)=0,0,SUM(J36:L36)/'Resid Cust Fcst '!AF37)</f>
        <v>0</v>
      </c>
      <c r="N36" s="137">
        <f>'Resid Cust Fcst '!$AG37*'Resid TSM UC Adj'!N36</f>
        <v>0</v>
      </c>
      <c r="O36" s="23">
        <f>'Resid Cust Fcst '!$AG37*'Resid TSM UC Adj'!O36</f>
        <v>0</v>
      </c>
      <c r="P36" s="23">
        <f>'Resid Cust Fcst '!$AG37*'Resid TSM UC Adj'!P36</f>
        <v>0</v>
      </c>
      <c r="Q36" s="45">
        <f>IF(SUM(N36:P36)=0,0,SUM(N36:P36)/'Resid Cust Fcst '!AG37)</f>
        <v>0</v>
      </c>
      <c r="R36" s="137">
        <f t="shared" si="2"/>
        <v>0</v>
      </c>
      <c r="S36" s="23">
        <f t="shared" si="4"/>
        <v>0</v>
      </c>
      <c r="T36" s="23">
        <f t="shared" si="5"/>
        <v>0</v>
      </c>
      <c r="U36" s="45">
        <f>IF(SUM(R36:T36)=0,0,SUM(R36:T36)/'Resid Cust Fcst '!AH37)</f>
        <v>0</v>
      </c>
      <c r="V36" s="137">
        <f>'Resid Cust Fcst '!$AI37*'Resid TSM UC Adj'!R36</f>
        <v>0</v>
      </c>
      <c r="W36" s="23">
        <f>'Resid Cust Fcst '!$AI37*'Resid TSM UC Adj'!S36</f>
        <v>0</v>
      </c>
      <c r="X36" s="23">
        <f>'Resid Cust Fcst '!$AI37*'Resid TSM UC Adj'!T36</f>
        <v>0</v>
      </c>
      <c r="Y36" s="45">
        <f>IF(SUM(V36:X36)=0,0,SUM(V36:X36)/'Resid Cust Fcst '!AI37)</f>
        <v>0</v>
      </c>
      <c r="Z36" s="137">
        <f t="shared" si="3"/>
        <v>0</v>
      </c>
      <c r="AA36" s="23">
        <f t="shared" si="6"/>
        <v>0</v>
      </c>
      <c r="AB36" s="23">
        <f t="shared" si="7"/>
        <v>0</v>
      </c>
      <c r="AC36" s="45">
        <f>IF(SUM(Z36:AB36)=0,0,SUM(Z36:AB36)/'Resid Cust Fcst '!AJ37)</f>
        <v>0</v>
      </c>
    </row>
    <row r="37" spans="1:29">
      <c r="A37" s="153" t="s">
        <v>27</v>
      </c>
      <c r="B37" s="137">
        <f>'Resid Cust Fcst '!$AD38*'Resid TSM UC Adj'!J37</f>
        <v>0</v>
      </c>
      <c r="C37" s="23">
        <f>'Resid Cust Fcst '!$AD38*'Resid TSM UC Adj'!K37</f>
        <v>0</v>
      </c>
      <c r="D37" s="23">
        <f>'Resid Cust Fcst '!$AD38*'Resid TSM UC Adj'!L37</f>
        <v>0</v>
      </c>
      <c r="E37" s="45">
        <f>IF(SUM(B37:D37)=0,0,SUM(B37:D37)/'Resid Cust Fcst '!AD38)</f>
        <v>0</v>
      </c>
      <c r="F37" s="137">
        <f>'Resid Cust Fcst '!$AE38*'Resid TSM UC Adj'!J37</f>
        <v>0</v>
      </c>
      <c r="G37" s="23">
        <f>'Resid Cust Fcst '!$AE38*'Resid TSM UC Adj'!K37</f>
        <v>0</v>
      </c>
      <c r="H37" s="23">
        <f>'Resid Cust Fcst '!$AE38*'Resid TSM UC Adj'!L37</f>
        <v>0</v>
      </c>
      <c r="I37" s="45">
        <f>IF(SUM(F37:H37)=0,0,SUM(F37:H37)/'Resid Cust Fcst '!AE38)</f>
        <v>0</v>
      </c>
      <c r="J37" s="137">
        <f>'Resid Cust Fcst '!$AF38*'Resid TSM UC Adj'!J37</f>
        <v>0</v>
      </c>
      <c r="K37" s="23">
        <f>'Resid Cust Fcst '!$AF38*'Resid TSM UC Adj'!K37</f>
        <v>0</v>
      </c>
      <c r="L37" s="23">
        <f>'Resid Cust Fcst '!$AF38*'Resid TSM UC Adj'!L37</f>
        <v>0</v>
      </c>
      <c r="M37" s="45">
        <f>IF(SUM(J37:L37)=0,0,SUM(J37:L37)/'Resid Cust Fcst '!AF38)</f>
        <v>0</v>
      </c>
      <c r="N37" s="137">
        <f>'Resid Cust Fcst '!$AG38*'Resid TSM UC Adj'!N37</f>
        <v>0</v>
      </c>
      <c r="O37" s="23">
        <f>'Resid Cust Fcst '!$AG38*'Resid TSM UC Adj'!O37</f>
        <v>0</v>
      </c>
      <c r="P37" s="23">
        <f>'Resid Cust Fcst '!$AG38*'Resid TSM UC Adj'!P37</f>
        <v>0</v>
      </c>
      <c r="Q37" s="45">
        <f>IF(SUM(N37:P37)=0,0,SUM(N37:P37)/'Resid Cust Fcst '!AG38)</f>
        <v>0</v>
      </c>
      <c r="R37" s="137">
        <f t="shared" si="2"/>
        <v>0</v>
      </c>
      <c r="S37" s="23">
        <f t="shared" si="4"/>
        <v>0</v>
      </c>
      <c r="T37" s="23">
        <f t="shared" si="5"/>
        <v>0</v>
      </c>
      <c r="U37" s="45">
        <f>IF(SUM(R37:T37)=0,0,SUM(R37:T37)/'Resid Cust Fcst '!AH38)</f>
        <v>0</v>
      </c>
      <c r="V37" s="137">
        <f>'Resid Cust Fcst '!$AI38*'Resid TSM UC Adj'!R37</f>
        <v>0</v>
      </c>
      <c r="W37" s="23">
        <f>'Resid Cust Fcst '!$AI38*'Resid TSM UC Adj'!S37</f>
        <v>0</v>
      </c>
      <c r="X37" s="23">
        <f>'Resid Cust Fcst '!$AI38*'Resid TSM UC Adj'!T37</f>
        <v>0</v>
      </c>
      <c r="Y37" s="45">
        <f>IF(SUM(V37:X37)=0,0,SUM(V37:X37)/'Resid Cust Fcst '!AI38)</f>
        <v>0</v>
      </c>
      <c r="Z37" s="137">
        <f t="shared" si="3"/>
        <v>0</v>
      </c>
      <c r="AA37" s="23">
        <f t="shared" si="6"/>
        <v>0</v>
      </c>
      <c r="AB37" s="23">
        <f t="shared" si="7"/>
        <v>0</v>
      </c>
      <c r="AC37" s="45">
        <f>IF(SUM(Z37:AB37)=0,0,SUM(Z37:AB37)/'Resid Cust Fcst '!AJ38)</f>
        <v>0</v>
      </c>
    </row>
    <row r="38" spans="1:29" ht="13.5" thickBot="1">
      <c r="A38" s="156"/>
      <c r="B38" s="137"/>
      <c r="C38" s="23"/>
      <c r="D38" s="23"/>
      <c r="E38" s="45"/>
      <c r="F38" s="137"/>
      <c r="G38" s="23"/>
      <c r="H38" s="23"/>
      <c r="I38" s="45"/>
      <c r="J38" s="137"/>
      <c r="K38" s="23"/>
      <c r="L38" s="23"/>
      <c r="M38" s="45"/>
      <c r="N38" s="137"/>
      <c r="O38" s="23"/>
      <c r="P38" s="23"/>
      <c r="Q38" s="45"/>
      <c r="R38" s="244"/>
      <c r="S38" s="240"/>
      <c r="T38" s="240"/>
      <c r="U38" s="249"/>
      <c r="V38" s="137"/>
      <c r="W38" s="23"/>
      <c r="X38" s="23"/>
      <c r="Y38" s="45"/>
      <c r="Z38" s="137"/>
      <c r="AA38" s="23"/>
      <c r="AB38" s="23"/>
      <c r="AC38" s="45"/>
    </row>
    <row r="39" spans="1:29" ht="13.5" thickBot="1">
      <c r="A39" s="245" t="s">
        <v>2</v>
      </c>
      <c r="B39" s="317">
        <f>IF(SUM(B7:B37)=0,0,SUM(B7:B37)/'Resid Cust Fcst '!$AD$40)</f>
        <v>1527.4156528405642</v>
      </c>
      <c r="C39" s="318">
        <f>IF(SUM(C7:C37)=0,0,SUM(C7:C37)/'Resid Cust Fcst '!$AD$40)</f>
        <v>724.57735723140013</v>
      </c>
      <c r="D39" s="318">
        <f>IF(SUM(D7:D37)=0,0,SUM(D7:D37)/'Resid Cust Fcst '!$AD$40)</f>
        <v>249.58377339842818</v>
      </c>
      <c r="E39" s="319">
        <f>SUM(B39:D39)</f>
        <v>2501.5767834703925</v>
      </c>
      <c r="F39" s="317">
        <f>IF(SUM(F7:F37)=0,0,SUM(F7:F37)/'Resid Cust Fcst '!$AE$40)</f>
        <v>1979.5343746713816</v>
      </c>
      <c r="G39" s="318">
        <f>IF(SUM(G7:G37)=0,0,SUM(G7:G37)/'Resid Cust Fcst '!$AE$40)</f>
        <v>888.28562532861781</v>
      </c>
      <c r="H39" s="318">
        <f>IF(SUM(H7:H37)=0,0,SUM(H7:H37)/'Resid Cust Fcst '!$AE$40)</f>
        <v>373.18</v>
      </c>
      <c r="I39" s="319">
        <f>SUM(F39:H39)</f>
        <v>3240.9999999999991</v>
      </c>
      <c r="J39" s="317">
        <f>IF(SUM(J7:J37)=0,0,SUM(J7:J37)/'Resid Cust Fcst '!$AF$40)</f>
        <v>0</v>
      </c>
      <c r="K39" s="318">
        <f>IF(SUM(K7:K37)=0,0,SUM(K7:K37)/'Resid Cust Fcst '!$AF$40)</f>
        <v>2867.8199999999997</v>
      </c>
      <c r="L39" s="318">
        <f>IF(SUM(L7:L37)=0,0,SUM(L7:L37)/'Resid Cust Fcst '!$AF$40)</f>
        <v>373.18</v>
      </c>
      <c r="M39" s="319">
        <f>SUM(J39:L39)</f>
        <v>3240.9999999999995</v>
      </c>
      <c r="N39" s="317">
        <f>IF(SUM(N7:N37)=0,0,SUM(N7:N37)/'Resid Cust Fcst '!$AG$40)</f>
        <v>882.30854071923932</v>
      </c>
      <c r="O39" s="318">
        <f>IF(SUM(O7:O37)=0,0,SUM(O7:O37)/'Resid Cust Fcst '!$AG$40)</f>
        <v>1985.5114592807611</v>
      </c>
      <c r="P39" s="318">
        <f>IF(SUM(P7:P37)=0,0,SUM(P7:P37)/'Resid Cust Fcst '!$AG$40)</f>
        <v>373.18</v>
      </c>
      <c r="Q39" s="319">
        <f>SUM(N39:P39)</f>
        <v>3241.0000000000005</v>
      </c>
      <c r="R39" s="317">
        <f>IF(SUM(R7:R37)=0,0,SUM(R7:R37)/'Resid Cust Fcst '!$AH$40)</f>
        <v>1469.2679358964074</v>
      </c>
      <c r="S39" s="318">
        <f>IF(SUM(S7:S37)=0,0,SUM(S7:S37)/'Resid Cust Fcst '!$AH$40)</f>
        <v>866.70148189301653</v>
      </c>
      <c r="T39" s="318">
        <f>IF(SUM(T7:T37)=0,0,SUM(T7:T37)/'Resid Cust Fcst '!$AH$40)</f>
        <v>266.4378042986425</v>
      </c>
      <c r="U39" s="319">
        <f>SUM(R39:T39)</f>
        <v>2602.4072220880662</v>
      </c>
      <c r="V39" s="317">
        <f>IF(SUM(V7:V37)=0,0,SUM(V7:V37)/'Resid Cust Fcst '!$AI$40)</f>
        <v>0</v>
      </c>
      <c r="W39" s="318">
        <f>IF(SUM(W7:W37)=0,0,SUM(W7:W37)/'Resid Cust Fcst '!$AI$40)</f>
        <v>0</v>
      </c>
      <c r="X39" s="318">
        <f>IF(SUM(X7:X37)=0,0,SUM(X7:X37)/'Resid Cust Fcst '!$AI$40)</f>
        <v>0</v>
      </c>
      <c r="Y39" s="319">
        <f>SUM(V39:X39)</f>
        <v>0</v>
      </c>
      <c r="Z39" s="317">
        <f>IF(SUM(Z7:Z37)=0,0,SUM(Z7:Z37)/'Resid Cust Fcst '!$AJ$40)</f>
        <v>1469.2679358964074</v>
      </c>
      <c r="AA39" s="318">
        <f>IF(SUM(AA7:AA37)=0,0,SUM(AA7:AA37)/'Resid Cust Fcst '!$AJ$40)</f>
        <v>866.70148189301653</v>
      </c>
      <c r="AB39" s="318">
        <f>IF(SUM(AB7:AB37)=0,0,SUM(AB7:AB37)/'Resid Cust Fcst '!$AJ$40)</f>
        <v>266.4378042986425</v>
      </c>
      <c r="AC39" s="319">
        <f>SUM(Z39:AB39)</f>
        <v>2602.4072220880662</v>
      </c>
    </row>
    <row r="40" spans="1:29">
      <c r="A40" s="55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</row>
    <row r="41" spans="1:29">
      <c r="A41" s="340" t="s">
        <v>102</v>
      </c>
      <c r="B41" s="18"/>
      <c r="C41" s="18"/>
      <c r="D41" s="18"/>
      <c r="E41" s="23">
        <f>IF(SUM(B7:D37)=0,0,SUM(B7:D37)/'Resid Cust Fcst '!AD40)-E39</f>
        <v>0</v>
      </c>
      <c r="F41" s="18"/>
      <c r="G41" s="18"/>
      <c r="H41" s="18"/>
      <c r="I41" s="23">
        <f>IF(SUM(F7:H37)=0,0,SUM(F7:H37)/'Resid Cust Fcst '!AE40)-I39</f>
        <v>0</v>
      </c>
      <c r="J41" s="18"/>
      <c r="K41" s="18"/>
      <c r="L41" s="18"/>
      <c r="M41" s="23">
        <f>IF(SUM(J7:L37)=0,0,SUM(J7:L37)/'Resid Cust Fcst '!AF40)-M39</f>
        <v>0</v>
      </c>
      <c r="N41" s="18"/>
      <c r="O41" s="18"/>
      <c r="P41" s="18"/>
      <c r="Q41" s="23">
        <f>IF(SUM(N7:P37)=0,0,SUM(N7:P37)/'Resid Cust Fcst '!AG40)-Q39</f>
        <v>0</v>
      </c>
      <c r="R41" s="18"/>
      <c r="S41" s="18"/>
      <c r="T41" s="18"/>
      <c r="U41" s="23">
        <f>IF(SUM(R7:T37)=0,0,SUM(R7:T37)/'Resid Cust Fcst '!AH40)-U39</f>
        <v>0</v>
      </c>
      <c r="V41" s="18"/>
      <c r="W41" s="18"/>
      <c r="X41" s="18"/>
      <c r="Y41" s="23">
        <f>IF(SUM(V7:X37)=0,0,SUM(V7:X37)/'Resid Cust Fcst '!AI40)-Y39</f>
        <v>0</v>
      </c>
      <c r="Z41" s="18"/>
      <c r="AA41" s="18"/>
      <c r="AB41" s="18"/>
      <c r="AC41" s="23">
        <f>IF(SUM(Z7:AB37)=0,0,SUM(Z7:AB37)/'Resid Cust Fcst '!AJ40)-AC39</f>
        <v>0</v>
      </c>
    </row>
    <row r="42" spans="1:29">
      <c r="N42" s="56"/>
      <c r="O42" s="56"/>
      <c r="P42" s="56"/>
    </row>
    <row r="43" spans="1:29">
      <c r="N43" s="56"/>
      <c r="O43" s="56"/>
      <c r="P43" s="56"/>
    </row>
    <row r="44" spans="1:29">
      <c r="A44" s="19"/>
      <c r="N44" s="18"/>
      <c r="O44" s="18"/>
      <c r="P44" s="18"/>
    </row>
    <row r="56" spans="1:1">
      <c r="A56" s="19"/>
    </row>
  </sheetData>
  <mergeCells count="9">
    <mergeCell ref="A1:Y1"/>
    <mergeCell ref="B2:U2"/>
    <mergeCell ref="V2:Y2"/>
    <mergeCell ref="Z2:AC2"/>
    <mergeCell ref="B3:E3"/>
    <mergeCell ref="F3:I3"/>
    <mergeCell ref="J3:M3"/>
    <mergeCell ref="N3:Q3"/>
    <mergeCell ref="R3:U3"/>
  </mergeCells>
  <printOptions horizontalCentered="1"/>
  <pageMargins left="0.75" right="0.75" top="1" bottom="1" header="0.5" footer="0.5"/>
  <pageSetup scale="40" orientation="portrait" r:id="rId1"/>
  <headerFooter alignWithMargins="0">
    <oddFooter>&amp;L&amp;F
&amp;A&amp;R&amp;P of &amp;N</oddFooter>
  </headerFooter>
  <colBreaks count="1" manualBreakCount="1">
    <brk id="17" max="38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3">
    <tabColor rgb="FFC00000"/>
  </sheetPr>
  <dimension ref="A1:AC56"/>
  <sheetViews>
    <sheetView zoomScaleNormal="100" workbookViewId="0">
      <selection activeCell="C11" sqref="C11"/>
    </sheetView>
  </sheetViews>
  <sheetFormatPr defaultRowHeight="12.75"/>
  <cols>
    <col min="1" max="1" width="39" customWidth="1"/>
    <col min="2" max="2" width="12.85546875" bestFit="1" customWidth="1"/>
    <col min="3" max="3" width="11.28515625" bestFit="1" customWidth="1"/>
    <col min="4" max="4" width="12.28515625" bestFit="1" customWidth="1"/>
    <col min="5" max="5" width="9.28515625" bestFit="1" customWidth="1"/>
    <col min="6" max="6" width="12.85546875" bestFit="1" customWidth="1"/>
    <col min="7" max="7" width="11.28515625" bestFit="1" customWidth="1"/>
    <col min="8" max="8" width="10.28515625" bestFit="1" customWidth="1"/>
    <col min="9" max="9" width="11.28515625" bestFit="1" customWidth="1"/>
    <col min="10" max="10" width="12.85546875" customWidth="1"/>
    <col min="11" max="11" width="12.28515625" customWidth="1"/>
    <col min="12" max="12" width="12.28515625" bestFit="1" customWidth="1"/>
    <col min="13" max="13" width="10.28515625" bestFit="1" customWidth="1"/>
    <col min="14" max="14" width="12.85546875" customWidth="1"/>
    <col min="15" max="15" width="10" customWidth="1"/>
    <col min="16" max="17" width="10.28515625" bestFit="1" customWidth="1"/>
    <col min="18" max="18" width="12.85546875" bestFit="1" customWidth="1"/>
    <col min="19" max="20" width="12.28515625" bestFit="1" customWidth="1"/>
    <col min="21" max="21" width="11.28515625" bestFit="1" customWidth="1"/>
    <col min="22" max="22" width="12.85546875" bestFit="1" customWidth="1"/>
    <col min="23" max="25" width="10.28515625" customWidth="1"/>
    <col min="26" max="29" width="13.85546875" customWidth="1"/>
  </cols>
  <sheetData>
    <row r="1" spans="1:29" ht="18.75" thickBot="1">
      <c r="A1" s="841" t="s">
        <v>91</v>
      </c>
      <c r="B1" s="841"/>
      <c r="C1" s="841"/>
      <c r="D1" s="841"/>
      <c r="E1" s="841"/>
      <c r="F1" s="841"/>
      <c r="G1" s="841"/>
      <c r="H1" s="841"/>
      <c r="I1" s="841"/>
      <c r="J1" s="841"/>
      <c r="K1" s="841"/>
      <c r="L1" s="841"/>
      <c r="M1" s="841"/>
      <c r="N1" s="841"/>
      <c r="O1" s="841"/>
      <c r="P1" s="841"/>
      <c r="Q1" s="841"/>
      <c r="R1" s="841"/>
      <c r="S1" s="841"/>
      <c r="T1" s="841"/>
      <c r="U1" s="841"/>
      <c r="V1" s="841"/>
      <c r="W1" s="841"/>
      <c r="X1" s="841"/>
      <c r="Y1" s="841"/>
    </row>
    <row r="2" spans="1:29" ht="13.5" thickBot="1">
      <c r="A2" s="131"/>
      <c r="B2" s="834" t="s">
        <v>132</v>
      </c>
      <c r="C2" s="835"/>
      <c r="D2" s="835"/>
      <c r="E2" s="835"/>
      <c r="F2" s="835"/>
      <c r="G2" s="835"/>
      <c r="H2" s="835"/>
      <c r="I2" s="835"/>
      <c r="J2" s="835"/>
      <c r="K2" s="835"/>
      <c r="L2" s="835"/>
      <c r="M2" s="835"/>
      <c r="N2" s="835"/>
      <c r="O2" s="835"/>
      <c r="P2" s="835"/>
      <c r="Q2" s="835"/>
      <c r="R2" s="835"/>
      <c r="S2" s="835"/>
      <c r="T2" s="835"/>
      <c r="U2" s="837"/>
      <c r="V2" s="834" t="s">
        <v>133</v>
      </c>
      <c r="W2" s="835"/>
      <c r="X2" s="835"/>
      <c r="Y2" s="837"/>
      <c r="Z2" s="834" t="s">
        <v>151</v>
      </c>
      <c r="AA2" s="835"/>
      <c r="AB2" s="835"/>
      <c r="AC2" s="837"/>
    </row>
    <row r="3" spans="1:29">
      <c r="A3" s="196"/>
      <c r="B3" s="842" t="s">
        <v>127</v>
      </c>
      <c r="C3" s="843"/>
      <c r="D3" s="843"/>
      <c r="E3" s="844"/>
      <c r="F3" s="842" t="s">
        <v>114</v>
      </c>
      <c r="G3" s="843"/>
      <c r="H3" s="843"/>
      <c r="I3" s="844"/>
      <c r="J3" s="842" t="s">
        <v>115</v>
      </c>
      <c r="K3" s="843"/>
      <c r="L3" s="843"/>
      <c r="M3" s="844"/>
      <c r="N3" s="842" t="s">
        <v>113</v>
      </c>
      <c r="O3" s="843"/>
      <c r="P3" s="843"/>
      <c r="Q3" s="844"/>
      <c r="R3" s="836" t="s">
        <v>138</v>
      </c>
      <c r="S3" s="843"/>
      <c r="T3" s="843"/>
      <c r="U3" s="844"/>
      <c r="V3" s="345"/>
      <c r="W3" s="346"/>
      <c r="X3" s="346"/>
      <c r="Y3" s="347"/>
      <c r="Z3" s="345"/>
      <c r="AA3" s="346"/>
      <c r="AB3" s="346"/>
      <c r="AC3" s="347"/>
    </row>
    <row r="4" spans="1:29" ht="13.5" thickBot="1">
      <c r="A4" s="102" t="s">
        <v>4</v>
      </c>
      <c r="B4" s="348" t="s">
        <v>36</v>
      </c>
      <c r="C4" s="349" t="s">
        <v>37</v>
      </c>
      <c r="D4" s="349" t="s">
        <v>38</v>
      </c>
      <c r="E4" s="350" t="s">
        <v>41</v>
      </c>
      <c r="F4" s="348" t="s">
        <v>36</v>
      </c>
      <c r="G4" s="349" t="s">
        <v>37</v>
      </c>
      <c r="H4" s="349" t="s">
        <v>38</v>
      </c>
      <c r="I4" s="350" t="s">
        <v>41</v>
      </c>
      <c r="J4" s="348" t="s">
        <v>36</v>
      </c>
      <c r="K4" s="349" t="s">
        <v>37</v>
      </c>
      <c r="L4" s="349" t="s">
        <v>40</v>
      </c>
      <c r="M4" s="350" t="s">
        <v>41</v>
      </c>
      <c r="N4" s="348" t="s">
        <v>36</v>
      </c>
      <c r="O4" s="349" t="s">
        <v>37</v>
      </c>
      <c r="P4" s="349" t="s">
        <v>40</v>
      </c>
      <c r="Q4" s="350" t="s">
        <v>41</v>
      </c>
      <c r="R4" s="348" t="s">
        <v>36</v>
      </c>
      <c r="S4" s="349" t="s">
        <v>37</v>
      </c>
      <c r="T4" s="349" t="s">
        <v>38</v>
      </c>
      <c r="U4" s="350" t="s">
        <v>41</v>
      </c>
      <c r="V4" s="348" t="s">
        <v>36</v>
      </c>
      <c r="W4" s="349" t="s">
        <v>37</v>
      </c>
      <c r="X4" s="349" t="s">
        <v>40</v>
      </c>
      <c r="Y4" s="350" t="s">
        <v>41</v>
      </c>
      <c r="Z4" s="348" t="s">
        <v>36</v>
      </c>
      <c r="AA4" s="349" t="s">
        <v>37</v>
      </c>
      <c r="AB4" s="349" t="s">
        <v>40</v>
      </c>
      <c r="AC4" s="350" t="s">
        <v>41</v>
      </c>
    </row>
    <row r="5" spans="1:29">
      <c r="A5" s="133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5" t="s">
        <v>42</v>
      </c>
      <c r="K5" s="6" t="s">
        <v>42</v>
      </c>
      <c r="L5" s="6" t="s">
        <v>42</v>
      </c>
      <c r="M5" s="7" t="s">
        <v>43</v>
      </c>
      <c r="N5" s="5" t="s">
        <v>42</v>
      </c>
      <c r="O5" s="6" t="s">
        <v>42</v>
      </c>
      <c r="P5" s="6" t="s">
        <v>42</v>
      </c>
      <c r="Q5" s="7" t="s">
        <v>43</v>
      </c>
      <c r="R5" s="5" t="s">
        <v>42</v>
      </c>
      <c r="S5" s="6" t="s">
        <v>42</v>
      </c>
      <c r="T5" s="6" t="s">
        <v>42</v>
      </c>
      <c r="U5" s="7" t="s">
        <v>43</v>
      </c>
      <c r="V5" s="132" t="s">
        <v>42</v>
      </c>
      <c r="W5" s="8" t="s">
        <v>42</v>
      </c>
      <c r="X5" s="8" t="s">
        <v>42</v>
      </c>
      <c r="Y5" s="9" t="s">
        <v>43</v>
      </c>
      <c r="Z5" s="132" t="s">
        <v>42</v>
      </c>
      <c r="AA5" s="8" t="s">
        <v>42</v>
      </c>
      <c r="AB5" s="8" t="s">
        <v>42</v>
      </c>
      <c r="AC5" s="9" t="s">
        <v>43</v>
      </c>
    </row>
    <row r="6" spans="1:29">
      <c r="A6" s="112"/>
      <c r="B6" s="132"/>
      <c r="C6" s="8"/>
      <c r="D6" s="8"/>
      <c r="E6" s="9"/>
      <c r="F6" s="132"/>
      <c r="G6" s="8"/>
      <c r="H6" s="8"/>
      <c r="I6" s="9"/>
      <c r="J6" s="132"/>
      <c r="K6" s="8"/>
      <c r="L6" s="8"/>
      <c r="M6" s="9"/>
      <c r="N6" s="132"/>
      <c r="O6" s="8"/>
      <c r="P6" s="8"/>
      <c r="Q6" s="9"/>
      <c r="R6" s="132"/>
      <c r="S6" s="8"/>
      <c r="T6" s="8"/>
      <c r="U6" s="9"/>
      <c r="V6" s="132"/>
      <c r="W6" s="8"/>
      <c r="X6" s="8"/>
      <c r="Y6" s="9"/>
      <c r="Z6" s="132"/>
      <c r="AA6" s="8"/>
      <c r="AB6" s="8"/>
      <c r="AC6" s="9"/>
    </row>
    <row r="7" spans="1:29">
      <c r="A7" s="153" t="s">
        <v>5</v>
      </c>
      <c r="B7" s="137">
        <f>'Resid Cust Fcst '!$AK8*'Resid TSM UC Adj'!B7</f>
        <v>37054.048279268274</v>
      </c>
      <c r="C7" s="23">
        <f>'Resid Cust Fcst '!$AK8*'Resid TSM UC Adj'!C7</f>
        <v>20945.666172001871</v>
      </c>
      <c r="D7" s="23">
        <f>'Resid Cust Fcst '!$AK8*'Resid TSM UC Adj'!D7</f>
        <v>37182.743561085968</v>
      </c>
      <c r="E7" s="45">
        <f>IF(SUM(B7:D7)=0,0,SUM(B7:D7)/'Resid Cust Fcst '!AK8)</f>
        <v>630.34740405533853</v>
      </c>
      <c r="F7" s="137">
        <f>'Resid Cust Fcst '!$AL8*'Resid TSM UC Adj'!F7</f>
        <v>0</v>
      </c>
      <c r="G7" s="23">
        <f>'Resid Cust Fcst '!$AL8*'Resid TSM UC Adj'!G7</f>
        <v>0</v>
      </c>
      <c r="H7" s="23">
        <f>'Resid Cust Fcst '!$AL8*'Resid TSM UC Adj'!H7</f>
        <v>0</v>
      </c>
      <c r="I7" s="45">
        <f>IF(SUM(F7:H7)=0,0,SUM(F7:H7)/'Resid Cust Fcst '!AL8)</f>
        <v>0</v>
      </c>
      <c r="J7" s="137">
        <f>'Resid Cust Fcst '!$AM8*'Resid TSM UC Adj'!J7</f>
        <v>0</v>
      </c>
      <c r="K7" s="23">
        <f>'Resid Cust Fcst '!$AM8*'Resid TSM UC Adj'!K7</f>
        <v>0</v>
      </c>
      <c r="L7" s="23">
        <f>'Resid Cust Fcst '!$AM8*'Resid TSM UC Adj'!L7</f>
        <v>0</v>
      </c>
      <c r="M7" s="45">
        <f>IF(SUM(J7:L7)=0,0,SUM(J7:L7)/'Resid Cust Fcst '!AM8)</f>
        <v>0</v>
      </c>
      <c r="N7" s="137">
        <f>'Resid Cust Fcst '!$AN8*'Resid TSM UC Adj'!N7</f>
        <v>0</v>
      </c>
      <c r="O7" s="23">
        <f>'Resid Cust Fcst '!$AN8*'Resid TSM UC Adj'!O7</f>
        <v>0</v>
      </c>
      <c r="P7" s="23">
        <f>'Resid Cust Fcst '!$AN8*'Resid TSM UC Adj'!P7</f>
        <v>0</v>
      </c>
      <c r="Q7" s="45">
        <f>IF(SUM(N7:P7)=0,0,SUM(N7:P7)/'Resid Cust Fcst '!AN8)</f>
        <v>0</v>
      </c>
      <c r="R7" s="137">
        <f>B7+F7+J7+N7</f>
        <v>37054.048279268274</v>
      </c>
      <c r="S7" s="23">
        <f t="shared" ref="S7:T22" si="0">C7+G7+K7+O7</f>
        <v>20945.666172001871</v>
      </c>
      <c r="T7" s="23">
        <f t="shared" si="0"/>
        <v>37182.743561085968</v>
      </c>
      <c r="U7" s="45">
        <f>IF(SUM(R7:T7)=0,0,SUM(R7:T7)/'Resid Cust Fcst '!AO8)</f>
        <v>630.34740405533853</v>
      </c>
      <c r="V7" s="137">
        <f>'Resid Cust Fcst '!$AP8*'Resid TSM UC Adj'!R7</f>
        <v>0</v>
      </c>
      <c r="W7" s="23">
        <f>'Resid Cust Fcst '!$AP8*'Resid TSM UC Adj'!S7</f>
        <v>0</v>
      </c>
      <c r="X7" s="23">
        <f>'Resid Cust Fcst '!$AP8*'Resid TSM UC Adj'!T7</f>
        <v>0</v>
      </c>
      <c r="Y7" s="45">
        <f>IF(SUM(V7:X7)=0,0,SUM(V7:X7)/'Resid Cust Fcst '!AP8)</f>
        <v>0</v>
      </c>
      <c r="Z7" s="137">
        <f>R7+V7</f>
        <v>37054.048279268274</v>
      </c>
      <c r="AA7" s="23">
        <f t="shared" ref="AA7:AB22" si="1">S7+W7</f>
        <v>20945.666172001871</v>
      </c>
      <c r="AB7" s="23">
        <f t="shared" si="1"/>
        <v>37182.743561085968</v>
      </c>
      <c r="AC7" s="45">
        <f>IF(SUM(Z7:AB7)=0,0,SUM(Z7:AB7)/'Resid Cust Fcst '!AQ8)</f>
        <v>630.34740405533853</v>
      </c>
    </row>
    <row r="8" spans="1:29">
      <c r="A8" s="155" t="s">
        <v>6</v>
      </c>
      <c r="B8" s="137">
        <f>'Resid Cust Fcst '!$AK9*'Resid TSM UC Adj'!B8</f>
        <v>261446.63393262328</v>
      </c>
      <c r="C8" s="23">
        <f>'Resid Cust Fcst '!$AK9*'Resid TSM UC Adj'!C8</f>
        <v>47023.714121249235</v>
      </c>
      <c r="D8" s="23">
        <f>'Resid Cust Fcst '!$AK9*'Resid TSM UC Adj'!D8</f>
        <v>83476.490511312208</v>
      </c>
      <c r="E8" s="45">
        <f>IF(SUM(B8:D8)=0,0,SUM(B8:D8)/'Resid Cust Fcst '!AK9)</f>
        <v>1156.1853644990699</v>
      </c>
      <c r="F8" s="137">
        <f>'Resid Cust Fcst '!$AL9*'Resid TSM UC Adj'!F8</f>
        <v>0</v>
      </c>
      <c r="G8" s="23">
        <f>'Resid Cust Fcst '!$AL9*'Resid TSM UC Adj'!G8</f>
        <v>0</v>
      </c>
      <c r="H8" s="23">
        <f>'Resid Cust Fcst '!$AL9*'Resid TSM UC Adj'!H8</f>
        <v>0</v>
      </c>
      <c r="I8" s="45">
        <f>IF(SUM(F8:H8)=0,0,SUM(F8:H8)/'Resid Cust Fcst '!AL9)</f>
        <v>0</v>
      </c>
      <c r="J8" s="137">
        <f>'Resid Cust Fcst '!$AM9*'Resid TSM UC Adj'!J8</f>
        <v>0</v>
      </c>
      <c r="K8" s="23">
        <f>'Resid Cust Fcst '!$AM9*'Resid TSM UC Adj'!K8</f>
        <v>0</v>
      </c>
      <c r="L8" s="23">
        <f>'Resid Cust Fcst '!$AM9*'Resid TSM UC Adj'!L8</f>
        <v>0</v>
      </c>
      <c r="M8" s="45">
        <f>IF(SUM(J8:L8)=0,0,SUM(J8:L8)/'Resid Cust Fcst '!AM9)</f>
        <v>0</v>
      </c>
      <c r="N8" s="137">
        <f>'Resid Cust Fcst '!$AN9*'Resid TSM UC Adj'!N8</f>
        <v>0</v>
      </c>
      <c r="O8" s="23">
        <f>'Resid Cust Fcst '!$AN9*'Resid TSM UC Adj'!O8</f>
        <v>0</v>
      </c>
      <c r="P8" s="23">
        <f>'Resid Cust Fcst '!$AN9*'Resid TSM UC Adj'!P8</f>
        <v>0</v>
      </c>
      <c r="Q8" s="45">
        <f>IF(SUM(N8:P8)=0,0,SUM(N8:P8)/'Resid Cust Fcst '!AN9)</f>
        <v>0</v>
      </c>
      <c r="R8" s="137">
        <f t="shared" ref="R8:R37" si="2">B8+F8+J8+N8</f>
        <v>261446.63393262328</v>
      </c>
      <c r="S8" s="23">
        <f t="shared" si="0"/>
        <v>47023.714121249235</v>
      </c>
      <c r="T8" s="23">
        <f t="shared" si="0"/>
        <v>83476.490511312208</v>
      </c>
      <c r="U8" s="45">
        <f>IF(SUM(R8:T8)=0,0,SUM(R8:T8)/'Resid Cust Fcst '!AO9)</f>
        <v>1156.1853644990699</v>
      </c>
      <c r="V8" s="137">
        <f>'Resid Cust Fcst '!$AP9*'Resid TSM UC Adj'!R8</f>
        <v>0</v>
      </c>
      <c r="W8" s="23">
        <f>'Resid Cust Fcst '!$AP9*'Resid TSM UC Adj'!S8</f>
        <v>0</v>
      </c>
      <c r="X8" s="23">
        <f>'Resid Cust Fcst '!$AP9*'Resid TSM UC Adj'!T8</f>
        <v>0</v>
      </c>
      <c r="Y8" s="45">
        <f>IF(SUM(V8:X8)=0,0,SUM(V8:X8)/'Resid Cust Fcst '!AP9)</f>
        <v>0</v>
      </c>
      <c r="Z8" s="137">
        <f t="shared" ref="Z8:Z37" si="3">R8+V8</f>
        <v>261446.63393262328</v>
      </c>
      <c r="AA8" s="23">
        <f t="shared" si="1"/>
        <v>47023.714121249235</v>
      </c>
      <c r="AB8" s="23">
        <f t="shared" si="1"/>
        <v>83476.490511312208</v>
      </c>
      <c r="AC8" s="45">
        <f>IF(SUM(Z8:AB8)=0,0,SUM(Z8:AB8)/'Resid Cust Fcst '!AQ9)</f>
        <v>1156.1853644990699</v>
      </c>
    </row>
    <row r="9" spans="1:29">
      <c r="A9" s="155" t="s">
        <v>7</v>
      </c>
      <c r="B9" s="137">
        <f>'Resid Cust Fcst '!$AK10*'Resid TSM UC Adj'!B9</f>
        <v>305021.07292139379</v>
      </c>
      <c r="C9" s="23">
        <f>'Resid Cust Fcst '!$AK10*'Resid TSM UC Adj'!C9</f>
        <v>88376.075989997946</v>
      </c>
      <c r="D9" s="23">
        <f>'Resid Cust Fcst '!$AK10*'Resid TSM UC Adj'!D9</f>
        <v>111301.98734841628</v>
      </c>
      <c r="E9" s="45">
        <f>IF(SUM(B9:D9)=0,0,SUM(B9:D9)/'Resid Cust Fcst '!AK10)</f>
        <v>1116.5910094243541</v>
      </c>
      <c r="F9" s="137">
        <f>'Resid Cust Fcst '!$AL10*'Resid TSM UC Adj'!F9</f>
        <v>0</v>
      </c>
      <c r="G9" s="23">
        <f>'Resid Cust Fcst '!$AL10*'Resid TSM UC Adj'!G9</f>
        <v>0</v>
      </c>
      <c r="H9" s="23">
        <f>'Resid Cust Fcst '!$AL10*'Resid TSM UC Adj'!H9</f>
        <v>0</v>
      </c>
      <c r="I9" s="45">
        <f>IF(SUM(F9:H9)=0,0,SUM(F9:H9)/'Resid Cust Fcst '!AL10)</f>
        <v>0</v>
      </c>
      <c r="J9" s="137">
        <f>'Resid Cust Fcst '!$AM10*'Resid TSM UC Adj'!J9</f>
        <v>0</v>
      </c>
      <c r="K9" s="23">
        <f>'Resid Cust Fcst '!$AM10*'Resid TSM UC Adj'!K9</f>
        <v>0</v>
      </c>
      <c r="L9" s="23">
        <f>'Resid Cust Fcst '!$AM10*'Resid TSM UC Adj'!L9</f>
        <v>0</v>
      </c>
      <c r="M9" s="45">
        <f>IF(SUM(J9:L9)=0,0,SUM(J9:L9)/'Resid Cust Fcst '!AM10)</f>
        <v>0</v>
      </c>
      <c r="N9" s="137">
        <f>'Resid Cust Fcst '!$AN10*'Resid TSM UC Adj'!N9</f>
        <v>0</v>
      </c>
      <c r="O9" s="23">
        <f>'Resid Cust Fcst '!$AN10*'Resid TSM UC Adj'!O9</f>
        <v>0</v>
      </c>
      <c r="P9" s="23">
        <f>'Resid Cust Fcst '!$AN10*'Resid TSM UC Adj'!P9</f>
        <v>0</v>
      </c>
      <c r="Q9" s="45">
        <f>IF(SUM(N9:P9)=0,0,SUM(N9:P9)/'Resid Cust Fcst '!AN10)</f>
        <v>0</v>
      </c>
      <c r="R9" s="137">
        <f t="shared" si="2"/>
        <v>305021.07292139379</v>
      </c>
      <c r="S9" s="23">
        <f t="shared" si="0"/>
        <v>88376.075989997946</v>
      </c>
      <c r="T9" s="23">
        <f t="shared" si="0"/>
        <v>111301.98734841628</v>
      </c>
      <c r="U9" s="45">
        <f>IF(SUM(R9:T9)=0,0,SUM(R9:T9)/'Resid Cust Fcst '!AO10)</f>
        <v>1116.5910094243541</v>
      </c>
      <c r="V9" s="137">
        <f>'Resid Cust Fcst '!$AP10*'Resid TSM UC Adj'!R9</f>
        <v>0</v>
      </c>
      <c r="W9" s="23">
        <f>'Resid Cust Fcst '!$AP10*'Resid TSM UC Adj'!S9</f>
        <v>0</v>
      </c>
      <c r="X9" s="23">
        <f>'Resid Cust Fcst '!$AP10*'Resid TSM UC Adj'!T9</f>
        <v>0</v>
      </c>
      <c r="Y9" s="45">
        <f>IF(SUM(V9:X9)=0,0,SUM(V9:X9)/'Resid Cust Fcst '!AP10)</f>
        <v>0</v>
      </c>
      <c r="Z9" s="137">
        <f t="shared" si="3"/>
        <v>305021.07292139379</v>
      </c>
      <c r="AA9" s="23">
        <f t="shared" si="1"/>
        <v>88376.075989997946</v>
      </c>
      <c r="AB9" s="23">
        <f t="shared" si="1"/>
        <v>111301.98734841628</v>
      </c>
      <c r="AC9" s="45">
        <f>IF(SUM(Z9:AB9)=0,0,SUM(Z9:AB9)/'Resid Cust Fcst '!AQ10)</f>
        <v>1116.5910094243541</v>
      </c>
    </row>
    <row r="10" spans="1:29" s="58" customFormat="1">
      <c r="A10" s="288" t="s">
        <v>124</v>
      </c>
      <c r="B10" s="137">
        <f>'Resid Cust Fcst '!$AK11*'Resid TSM UC Adj'!B10</f>
        <v>153860.18722583581</v>
      </c>
      <c r="C10" s="23">
        <f>'Resid Cust Fcst '!$AK11*'Resid TSM UC Adj'!C10</f>
        <v>24365.424992412241</v>
      </c>
      <c r="D10" s="23">
        <f>'Resid Cust Fcst '!$AK11*'Resid TSM UC Adj'!D10</f>
        <v>28071.740171945701</v>
      </c>
      <c r="E10" s="45">
        <f>IF(SUM(B10:D10)=0,0,SUM(B10:D10)/'Resid Cust Fcst '!AK11)</f>
        <v>1809.6258981595943</v>
      </c>
      <c r="F10" s="137">
        <f>'Resid Cust Fcst '!$AL11*'Resid TSM UC Adj'!F10</f>
        <v>0</v>
      </c>
      <c r="G10" s="23">
        <f>'Resid Cust Fcst '!$AL11*'Resid TSM UC Adj'!G10</f>
        <v>0</v>
      </c>
      <c r="H10" s="23">
        <f>'Resid Cust Fcst '!$AL11*'Resid TSM UC Adj'!H10</f>
        <v>0</v>
      </c>
      <c r="I10" s="45">
        <f>IF(SUM(F10:H10)=0,0,SUM(F10:H10)/'Resid Cust Fcst '!AL11)</f>
        <v>0</v>
      </c>
      <c r="J10" s="137">
        <f>'Resid Cust Fcst '!$AM11*'Resid TSM UC Adj'!J10</f>
        <v>0</v>
      </c>
      <c r="K10" s="23">
        <f>'Resid Cust Fcst '!$AM11*'Resid TSM UC Adj'!K10</f>
        <v>0</v>
      </c>
      <c r="L10" s="23">
        <f>'Resid Cust Fcst '!$AM11*'Resid TSM UC Adj'!L10</f>
        <v>0</v>
      </c>
      <c r="M10" s="45">
        <f>IF(SUM(J10:L10)=0,0,SUM(J10:L10)/'Resid Cust Fcst '!AM11)</f>
        <v>0</v>
      </c>
      <c r="N10" s="137">
        <f>'Resid Cust Fcst '!$AN11*'Resid TSM UC Adj'!N10</f>
        <v>0</v>
      </c>
      <c r="O10" s="23">
        <f>'Resid Cust Fcst '!$AN11*'Resid TSM UC Adj'!O10</f>
        <v>0</v>
      </c>
      <c r="P10" s="23">
        <f>'Resid Cust Fcst '!$AN11*'Resid TSM UC Adj'!P10</f>
        <v>0</v>
      </c>
      <c r="Q10" s="45">
        <f>IF(SUM(N10:P10)=0,0,SUM(N10:P10)/'Resid Cust Fcst '!AN11)</f>
        <v>0</v>
      </c>
      <c r="R10" s="137">
        <f t="shared" si="2"/>
        <v>153860.18722583581</v>
      </c>
      <c r="S10" s="23">
        <f t="shared" si="0"/>
        <v>24365.424992412241</v>
      </c>
      <c r="T10" s="23">
        <f t="shared" si="0"/>
        <v>28071.740171945701</v>
      </c>
      <c r="U10" s="45">
        <f>IF(SUM(R10:T10)=0,0,SUM(R10:T10)/'Resid Cust Fcst '!AO11)</f>
        <v>1809.6258981595943</v>
      </c>
      <c r="V10" s="137">
        <f>'Resid Cust Fcst '!$AP11*'Resid TSM UC Adj'!R10</f>
        <v>0</v>
      </c>
      <c r="W10" s="23">
        <f>'Resid Cust Fcst '!$AP11*'Resid TSM UC Adj'!S10</f>
        <v>0</v>
      </c>
      <c r="X10" s="23">
        <f>'Resid Cust Fcst '!$AP11*'Resid TSM UC Adj'!T10</f>
        <v>0</v>
      </c>
      <c r="Y10" s="45">
        <f>IF(SUM(V10:X10)=0,0,SUM(V10:X10)/'Resid Cust Fcst '!AP11)</f>
        <v>0</v>
      </c>
      <c r="Z10" s="137">
        <f t="shared" si="3"/>
        <v>153860.18722583581</v>
      </c>
      <c r="AA10" s="23">
        <f t="shared" si="1"/>
        <v>24365.424992412241</v>
      </c>
      <c r="AB10" s="23">
        <f t="shared" si="1"/>
        <v>28071.740171945701</v>
      </c>
      <c r="AC10" s="45">
        <f>IF(SUM(Z10:AB10)=0,0,SUM(Z10:AB10)/'Resid Cust Fcst '!AQ11)</f>
        <v>1809.6258981595943</v>
      </c>
    </row>
    <row r="11" spans="1:29">
      <c r="A11" s="153" t="s">
        <v>116</v>
      </c>
      <c r="B11" s="137">
        <f>'Resid Cust Fcst '!$AK12*'Resid TSM UC Adj'!B11</f>
        <v>25643.364537639303</v>
      </c>
      <c r="C11" s="23">
        <f>'Resid Cust Fcst '!$AK12*'Resid TSM UC Adj'!C11</f>
        <v>4060.9041654020402</v>
      </c>
      <c r="D11" s="23">
        <f>'Resid Cust Fcst '!$AK12*'Resid TSM UC Adj'!D11</f>
        <v>4678.6233619909499</v>
      </c>
      <c r="E11" s="45">
        <f>IF(SUM(B11:D11)=0,0,SUM(B11:D11)/'Resid Cust Fcst '!AK12)</f>
        <v>1809.6258981595943</v>
      </c>
      <c r="F11" s="137">
        <f>'Resid Cust Fcst '!$AL12*'Resid TSM UC Adj'!F11</f>
        <v>0</v>
      </c>
      <c r="G11" s="23">
        <f>'Resid Cust Fcst '!$AL12*'Resid TSM UC Adj'!G11</f>
        <v>0</v>
      </c>
      <c r="H11" s="23">
        <f>'Resid Cust Fcst '!$AL12*'Resid TSM UC Adj'!H11</f>
        <v>0</v>
      </c>
      <c r="I11" s="45">
        <f>IF(SUM(F11:H11)=0,0,SUM(F11:H11)/'Resid Cust Fcst '!AL12)</f>
        <v>0</v>
      </c>
      <c r="J11" s="137">
        <f>'Resid Cust Fcst '!$AM12*'Resid TSM UC Adj'!J11</f>
        <v>0</v>
      </c>
      <c r="K11" s="23">
        <f>'Resid Cust Fcst '!$AM12*'Resid TSM UC Adj'!K11</f>
        <v>0</v>
      </c>
      <c r="L11" s="23">
        <f>'Resid Cust Fcst '!$AM12*'Resid TSM UC Adj'!L11</f>
        <v>0</v>
      </c>
      <c r="M11" s="45">
        <f>IF(SUM(J11:L11)=0,0,SUM(J11:L11)/'Resid Cust Fcst '!AM12)</f>
        <v>0</v>
      </c>
      <c r="N11" s="137">
        <f>'Resid Cust Fcst '!$AN12*'Resid TSM UC Adj'!N11</f>
        <v>0</v>
      </c>
      <c r="O11" s="23">
        <f>'Resid Cust Fcst '!$AN12*'Resid TSM UC Adj'!O11</f>
        <v>0</v>
      </c>
      <c r="P11" s="23">
        <f>'Resid Cust Fcst '!$AN12*'Resid TSM UC Adj'!P11</f>
        <v>0</v>
      </c>
      <c r="Q11" s="45">
        <f>IF(SUM(N11:P11)=0,0,SUM(N11:P11)/'Resid Cust Fcst '!AN12)</f>
        <v>0</v>
      </c>
      <c r="R11" s="137">
        <f t="shared" si="2"/>
        <v>25643.364537639303</v>
      </c>
      <c r="S11" s="23">
        <f t="shared" si="0"/>
        <v>4060.9041654020402</v>
      </c>
      <c r="T11" s="23">
        <f t="shared" si="0"/>
        <v>4678.6233619909499</v>
      </c>
      <c r="U11" s="45">
        <f>IF(SUM(R11:T11)=0,0,SUM(R11:T11)/'Resid Cust Fcst '!AO12)</f>
        <v>1809.6258981595943</v>
      </c>
      <c r="V11" s="137">
        <f>'Resid Cust Fcst '!$AP12*'Resid TSM UC Adj'!R11</f>
        <v>0</v>
      </c>
      <c r="W11" s="23">
        <f>'Resid Cust Fcst '!$AP12*'Resid TSM UC Adj'!S11</f>
        <v>0</v>
      </c>
      <c r="X11" s="23">
        <f>'Resid Cust Fcst '!$AP12*'Resid TSM UC Adj'!T11</f>
        <v>0</v>
      </c>
      <c r="Y11" s="45">
        <f>IF(SUM(V11:X11)=0,0,SUM(V11:X11)/'Resid Cust Fcst '!AP12)</f>
        <v>0</v>
      </c>
      <c r="Z11" s="137">
        <f t="shared" si="3"/>
        <v>25643.364537639303</v>
      </c>
      <c r="AA11" s="23">
        <f t="shared" si="1"/>
        <v>4060.9041654020402</v>
      </c>
      <c r="AB11" s="23">
        <f t="shared" si="1"/>
        <v>4678.6233619909499</v>
      </c>
      <c r="AC11" s="45">
        <f>IF(SUM(Z11:AB11)=0,0,SUM(Z11:AB11)/'Resid Cust Fcst '!AQ12)</f>
        <v>1809.6258981595943</v>
      </c>
    </row>
    <row r="12" spans="1:29">
      <c r="A12" s="153" t="s">
        <v>8</v>
      </c>
      <c r="B12" s="137">
        <f>'Resid Cust Fcst '!$AK13*'Resid TSM UC Adj'!B12</f>
        <v>21750.258890196001</v>
      </c>
      <c r="C12" s="23">
        <f>'Resid Cust Fcst '!$AK13*'Resid TSM UC Adj'!C12</f>
        <v>7729.1722981834382</v>
      </c>
      <c r="D12" s="23">
        <f>'Resid Cust Fcst '!$AK13*'Resid TSM UC Adj'!D12</f>
        <v>3693.6500226244343</v>
      </c>
      <c r="E12" s="45">
        <f>IF(SUM(B12:D12)=0,0,SUM(B12:D12)/'Resid Cust Fcst '!AK13)</f>
        <v>2211.5387474002582</v>
      </c>
      <c r="F12" s="137">
        <f>'Resid Cust Fcst '!$AL13*'Resid TSM UC Adj'!F12</f>
        <v>0</v>
      </c>
      <c r="G12" s="23">
        <f>'Resid Cust Fcst '!$AL13*'Resid TSM UC Adj'!G12</f>
        <v>0</v>
      </c>
      <c r="H12" s="23">
        <f>'Resid Cust Fcst '!$AL13*'Resid TSM UC Adj'!H12</f>
        <v>0</v>
      </c>
      <c r="I12" s="45">
        <f>IF(SUM(F12:H12)=0,0,SUM(F12:H12)/'Resid Cust Fcst '!AL13)</f>
        <v>0</v>
      </c>
      <c r="J12" s="137">
        <f>'Resid Cust Fcst '!$AM13*'Resid TSM UC Adj'!J12</f>
        <v>0</v>
      </c>
      <c r="K12" s="23">
        <f>'Resid Cust Fcst '!$AM13*'Resid TSM UC Adj'!K12</f>
        <v>0</v>
      </c>
      <c r="L12" s="23">
        <f>'Resid Cust Fcst '!$AM13*'Resid TSM UC Adj'!L12</f>
        <v>0</v>
      </c>
      <c r="M12" s="45">
        <f>IF(SUM(J12:L12)=0,0,SUM(J12:L12)/'Resid Cust Fcst '!AM13)</f>
        <v>0</v>
      </c>
      <c r="N12" s="137">
        <f>'Resid Cust Fcst '!$AN13*'Resid TSM UC Adj'!N12</f>
        <v>0</v>
      </c>
      <c r="O12" s="23">
        <f>'Resid Cust Fcst '!$AN13*'Resid TSM UC Adj'!O12</f>
        <v>0</v>
      </c>
      <c r="P12" s="23">
        <f>'Resid Cust Fcst '!$AN13*'Resid TSM UC Adj'!P12</f>
        <v>0</v>
      </c>
      <c r="Q12" s="45">
        <f>IF(SUM(N12:P12)=0,0,SUM(N12:P12)/'Resid Cust Fcst '!AN13)</f>
        <v>0</v>
      </c>
      <c r="R12" s="137">
        <f t="shared" si="2"/>
        <v>21750.258890196001</v>
      </c>
      <c r="S12" s="23">
        <f t="shared" si="0"/>
        <v>7729.1722981834382</v>
      </c>
      <c r="T12" s="23">
        <f t="shared" si="0"/>
        <v>3693.6500226244343</v>
      </c>
      <c r="U12" s="45">
        <f>IF(SUM(R12:T12)=0,0,SUM(R12:T12)/'Resid Cust Fcst '!AO13)</f>
        <v>2211.5387474002582</v>
      </c>
      <c r="V12" s="137">
        <f>'Resid Cust Fcst '!$AP13*'Resid TSM UC Adj'!R12</f>
        <v>0</v>
      </c>
      <c r="W12" s="23">
        <f>'Resid Cust Fcst '!$AP13*'Resid TSM UC Adj'!S12</f>
        <v>0</v>
      </c>
      <c r="X12" s="23">
        <f>'Resid Cust Fcst '!$AP13*'Resid TSM UC Adj'!T12</f>
        <v>0</v>
      </c>
      <c r="Y12" s="45">
        <f>IF(SUM(V12:X12)=0,0,SUM(V12:X12)/'Resid Cust Fcst '!AP13)</f>
        <v>0</v>
      </c>
      <c r="Z12" s="137">
        <f t="shared" si="3"/>
        <v>21750.258890196001</v>
      </c>
      <c r="AA12" s="23">
        <f t="shared" si="1"/>
        <v>7729.1722981834382</v>
      </c>
      <c r="AB12" s="23">
        <f t="shared" si="1"/>
        <v>3693.6500226244343</v>
      </c>
      <c r="AC12" s="45">
        <f>IF(SUM(Z12:AB12)=0,0,SUM(Z12:AB12)/'Resid Cust Fcst '!AQ13)</f>
        <v>2211.5387474002582</v>
      </c>
    </row>
    <row r="13" spans="1:29">
      <c r="A13" s="153" t="s">
        <v>9</v>
      </c>
      <c r="B13" s="137">
        <f>'Resid Cust Fcst '!$AK14*'Resid TSM UC Adj'!B13</f>
        <v>2164.5829799699918</v>
      </c>
      <c r="C13" s="23">
        <f>'Resid Cust Fcst '!$AK14*'Resid TSM UC Adj'!C13</f>
        <v>830.17368518837884</v>
      </c>
      <c r="D13" s="23">
        <f>'Resid Cust Fcst '!$AK14*'Resid TSM UC Adj'!D13</f>
        <v>246.24333484162895</v>
      </c>
      <c r="E13" s="45">
        <f>IF(SUM(B13:D13)=0,0,SUM(B13:D13)/'Resid Cust Fcst '!AK14)</f>
        <v>3240.9999999999995</v>
      </c>
      <c r="F13" s="137">
        <f>'Resid Cust Fcst '!$AL14*'Resid TSM UC Adj'!F13</f>
        <v>0</v>
      </c>
      <c r="G13" s="23">
        <f>'Resid Cust Fcst '!$AL14*'Resid TSM UC Adj'!G13</f>
        <v>0</v>
      </c>
      <c r="H13" s="23">
        <f>'Resid Cust Fcst '!$AL14*'Resid TSM UC Adj'!H13</f>
        <v>0</v>
      </c>
      <c r="I13" s="45">
        <f>IF(SUM(F13:H13)=0,0,SUM(F13:H13)/'Resid Cust Fcst '!AL14)</f>
        <v>0</v>
      </c>
      <c r="J13" s="137">
        <f>'Resid Cust Fcst '!$AM14*'Resid TSM UC Adj'!J13</f>
        <v>0</v>
      </c>
      <c r="K13" s="23">
        <f>'Resid Cust Fcst '!$AM14*'Resid TSM UC Adj'!K13</f>
        <v>0</v>
      </c>
      <c r="L13" s="23">
        <f>'Resid Cust Fcst '!$AM14*'Resid TSM UC Adj'!L13</f>
        <v>0</v>
      </c>
      <c r="M13" s="45">
        <f>IF(SUM(J13:L13)=0,0,SUM(J13:L13)/'Resid Cust Fcst '!AM14)</f>
        <v>0</v>
      </c>
      <c r="N13" s="137">
        <f>'Resid Cust Fcst '!$AN14*'Resid TSM UC Adj'!N13</f>
        <v>0</v>
      </c>
      <c r="O13" s="23">
        <f>'Resid Cust Fcst '!$AN14*'Resid TSM UC Adj'!O13</f>
        <v>0</v>
      </c>
      <c r="P13" s="23">
        <f>'Resid Cust Fcst '!$AN14*'Resid TSM UC Adj'!P13</f>
        <v>0</v>
      </c>
      <c r="Q13" s="45">
        <f>IF(SUM(N13:P13)=0,0,SUM(N13:P13)/'Resid Cust Fcst '!AN14)</f>
        <v>0</v>
      </c>
      <c r="R13" s="137">
        <f t="shared" si="2"/>
        <v>2164.5829799699918</v>
      </c>
      <c r="S13" s="23">
        <f t="shared" si="0"/>
        <v>830.17368518837884</v>
      </c>
      <c r="T13" s="23">
        <f t="shared" si="0"/>
        <v>246.24333484162895</v>
      </c>
      <c r="U13" s="45">
        <f>IF(SUM(R13:T13)=0,0,SUM(R13:T13)/'Resid Cust Fcst '!AO14)</f>
        <v>3240.9999999999995</v>
      </c>
      <c r="V13" s="137">
        <f>'Resid Cust Fcst '!$AP14*'Resid TSM UC Adj'!R13</f>
        <v>0</v>
      </c>
      <c r="W13" s="23">
        <f>'Resid Cust Fcst '!$AP14*'Resid TSM UC Adj'!S13</f>
        <v>0</v>
      </c>
      <c r="X13" s="23">
        <f>'Resid Cust Fcst '!$AP14*'Resid TSM UC Adj'!T13</f>
        <v>0</v>
      </c>
      <c r="Y13" s="45">
        <f>IF(SUM(V13:X13)=0,0,SUM(V13:X13)/'Resid Cust Fcst '!AP14)</f>
        <v>0</v>
      </c>
      <c r="Z13" s="137">
        <f t="shared" si="3"/>
        <v>2164.5829799699918</v>
      </c>
      <c r="AA13" s="23">
        <f t="shared" si="1"/>
        <v>830.17368518837884</v>
      </c>
      <c r="AB13" s="23">
        <f t="shared" si="1"/>
        <v>246.24333484162895</v>
      </c>
      <c r="AC13" s="45">
        <f>IF(SUM(Z13:AB13)=0,0,SUM(Z13:AB13)/'Resid Cust Fcst '!AQ14)</f>
        <v>3240.9999999999995</v>
      </c>
    </row>
    <row r="14" spans="1:29">
      <c r="A14" s="153" t="s">
        <v>10</v>
      </c>
      <c r="B14" s="137">
        <f>'Resid Cust Fcst '!$AK15*'Resid TSM UC Adj'!B14</f>
        <v>0</v>
      </c>
      <c r="C14" s="23">
        <f>'Resid Cust Fcst '!$AK15*'Resid TSM UC Adj'!C14</f>
        <v>0</v>
      </c>
      <c r="D14" s="23">
        <f>'Resid Cust Fcst '!$AK15*'Resid TSM UC Adj'!D14</f>
        <v>0</v>
      </c>
      <c r="E14" s="45">
        <f>IF(SUM(B14:D14)=0,0,SUM(B14:D14)/'Resid Cust Fcst '!AK15)</f>
        <v>0</v>
      </c>
      <c r="F14" s="137">
        <f>'Resid Cust Fcst '!$AL15*'Resid TSM UC Adj'!F14</f>
        <v>0</v>
      </c>
      <c r="G14" s="23">
        <f>'Resid Cust Fcst '!$AL15*'Resid TSM UC Adj'!G14</f>
        <v>0</v>
      </c>
      <c r="H14" s="23">
        <f>'Resid Cust Fcst '!$AL15*'Resid TSM UC Adj'!H14</f>
        <v>0</v>
      </c>
      <c r="I14" s="45">
        <f>IF(SUM(F14:H14)=0,0,SUM(F14:H14)/'Resid Cust Fcst '!AL15)</f>
        <v>0</v>
      </c>
      <c r="J14" s="137">
        <f>'Resid Cust Fcst '!$AM15*'Resid TSM UC Adj'!J14</f>
        <v>0</v>
      </c>
      <c r="K14" s="23">
        <f>'Resid Cust Fcst '!$AM15*'Resid TSM UC Adj'!K14</f>
        <v>0</v>
      </c>
      <c r="L14" s="23">
        <f>'Resid Cust Fcst '!$AM15*'Resid TSM UC Adj'!L14</f>
        <v>0</v>
      </c>
      <c r="M14" s="45">
        <f>IF(SUM(J14:L14)=0,0,SUM(J14:L14)/'Resid Cust Fcst '!AM15)</f>
        <v>0</v>
      </c>
      <c r="N14" s="137">
        <f>'Resid Cust Fcst '!$AN15*'Resid TSM UC Adj'!N14</f>
        <v>0</v>
      </c>
      <c r="O14" s="23">
        <f>'Resid Cust Fcst '!$AN15*'Resid TSM UC Adj'!O14</f>
        <v>0</v>
      </c>
      <c r="P14" s="23">
        <f>'Resid Cust Fcst '!$AN15*'Resid TSM UC Adj'!P14</f>
        <v>0</v>
      </c>
      <c r="Q14" s="45">
        <f>IF(SUM(N14:P14)=0,0,SUM(N14:P14)/'Resid Cust Fcst '!AN15)</f>
        <v>0</v>
      </c>
      <c r="R14" s="137">
        <f t="shared" si="2"/>
        <v>0</v>
      </c>
      <c r="S14" s="23">
        <f t="shared" si="0"/>
        <v>0</v>
      </c>
      <c r="T14" s="23">
        <f t="shared" si="0"/>
        <v>0</v>
      </c>
      <c r="U14" s="45">
        <f>IF(SUM(R14:T14)=0,0,SUM(R14:T14)/'Resid Cust Fcst '!AO15)</f>
        <v>0</v>
      </c>
      <c r="V14" s="137">
        <f>'Resid Cust Fcst '!$AP15*'Resid TSM UC Adj'!R14</f>
        <v>0</v>
      </c>
      <c r="W14" s="23">
        <f>'Resid Cust Fcst '!$AP15*'Resid TSM UC Adj'!S14</f>
        <v>0</v>
      </c>
      <c r="X14" s="23">
        <f>'Resid Cust Fcst '!$AP15*'Resid TSM UC Adj'!T14</f>
        <v>0</v>
      </c>
      <c r="Y14" s="45">
        <f>IF(SUM(V14:X14)=0,0,SUM(V14:X14)/'Resid Cust Fcst '!AP15)</f>
        <v>0</v>
      </c>
      <c r="Z14" s="137">
        <f t="shared" si="3"/>
        <v>0</v>
      </c>
      <c r="AA14" s="23">
        <f t="shared" si="1"/>
        <v>0</v>
      </c>
      <c r="AB14" s="23">
        <f t="shared" si="1"/>
        <v>0</v>
      </c>
      <c r="AC14" s="45">
        <f>IF(SUM(Z14:AB14)=0,0,SUM(Z14:AB14)/'Resid Cust Fcst '!AQ15)</f>
        <v>0</v>
      </c>
    </row>
    <row r="15" spans="1:29">
      <c r="A15" s="153" t="s">
        <v>11</v>
      </c>
      <c r="B15" s="137">
        <f>'Resid Cust Fcst '!$AK16*'Resid TSM UC Adj'!B15</f>
        <v>0</v>
      </c>
      <c r="C15" s="23">
        <f>'Resid Cust Fcst '!$AK16*'Resid TSM UC Adj'!C15</f>
        <v>0</v>
      </c>
      <c r="D15" s="23">
        <f>'Resid Cust Fcst '!$AK16*'Resid TSM UC Adj'!D15</f>
        <v>0</v>
      </c>
      <c r="E15" s="45">
        <f>IF(SUM(B15:D15)=0,0,SUM(B15:D15)/'Resid Cust Fcst '!AK16)</f>
        <v>0</v>
      </c>
      <c r="F15" s="137">
        <f>'Resid Cust Fcst '!$AL16*'Resid TSM UC Adj'!F15</f>
        <v>0</v>
      </c>
      <c r="G15" s="23">
        <f>'Resid Cust Fcst '!$AL16*'Resid TSM UC Adj'!G15</f>
        <v>0</v>
      </c>
      <c r="H15" s="23">
        <f>'Resid Cust Fcst '!$AL16*'Resid TSM UC Adj'!H15</f>
        <v>0</v>
      </c>
      <c r="I15" s="45">
        <f>IF(SUM(F15:H15)=0,0,SUM(F15:H15)/'Resid Cust Fcst '!AL16)</f>
        <v>0</v>
      </c>
      <c r="J15" s="137">
        <f>'Resid Cust Fcst '!$AM16*'Resid TSM UC Adj'!J15</f>
        <v>0</v>
      </c>
      <c r="K15" s="23">
        <f>'Resid Cust Fcst '!$AM16*'Resid TSM UC Adj'!K15</f>
        <v>0</v>
      </c>
      <c r="L15" s="23">
        <f>'Resid Cust Fcst '!$AM16*'Resid TSM UC Adj'!L15</f>
        <v>0</v>
      </c>
      <c r="M15" s="45">
        <f>IF(SUM(J15:L15)=0,0,SUM(J15:L15)/'Resid Cust Fcst '!AM16)</f>
        <v>0</v>
      </c>
      <c r="N15" s="137">
        <f>'Resid Cust Fcst '!$AN16*'Resid TSM UC Adj'!N15</f>
        <v>0</v>
      </c>
      <c r="O15" s="23">
        <f>'Resid Cust Fcst '!$AN16*'Resid TSM UC Adj'!O15</f>
        <v>0</v>
      </c>
      <c r="P15" s="23">
        <f>'Resid Cust Fcst '!$AN16*'Resid TSM UC Adj'!P15</f>
        <v>0</v>
      </c>
      <c r="Q15" s="45">
        <f>IF(SUM(N15:P15)=0,0,SUM(N15:P15)/'Resid Cust Fcst '!AN16)</f>
        <v>0</v>
      </c>
      <c r="R15" s="137">
        <f t="shared" si="2"/>
        <v>0</v>
      </c>
      <c r="S15" s="23">
        <f t="shared" si="0"/>
        <v>0</v>
      </c>
      <c r="T15" s="23">
        <f t="shared" si="0"/>
        <v>0</v>
      </c>
      <c r="U15" s="45">
        <f>IF(SUM(R15:T15)=0,0,SUM(R15:T15)/'Resid Cust Fcst '!AO16)</f>
        <v>0</v>
      </c>
      <c r="V15" s="137">
        <f>'Resid Cust Fcst '!$AP16*'Resid TSM UC Adj'!R15</f>
        <v>0</v>
      </c>
      <c r="W15" s="23">
        <f>'Resid Cust Fcst '!$AP16*'Resid TSM UC Adj'!S15</f>
        <v>0</v>
      </c>
      <c r="X15" s="23">
        <f>'Resid Cust Fcst '!$AP16*'Resid TSM UC Adj'!T15</f>
        <v>0</v>
      </c>
      <c r="Y15" s="45">
        <f>IF(SUM(V15:X15)=0,0,SUM(V15:X15)/'Resid Cust Fcst '!AP16)</f>
        <v>0</v>
      </c>
      <c r="Z15" s="137">
        <f t="shared" si="3"/>
        <v>0</v>
      </c>
      <c r="AA15" s="23">
        <f t="shared" si="1"/>
        <v>0</v>
      </c>
      <c r="AB15" s="23">
        <f t="shared" si="1"/>
        <v>0</v>
      </c>
      <c r="AC15" s="45">
        <f>IF(SUM(Z15:AB15)=0,0,SUM(Z15:AB15)/'Resid Cust Fcst '!AQ16)</f>
        <v>0</v>
      </c>
    </row>
    <row r="16" spans="1:29">
      <c r="A16" s="153" t="s">
        <v>120</v>
      </c>
      <c r="B16" s="137">
        <f>'Resid Cust Fcst '!$AK17*'Resid TSM UC Adj'!B16</f>
        <v>0</v>
      </c>
      <c r="C16" s="23">
        <f>'Resid Cust Fcst '!$AK17*'Resid TSM UC Adj'!C16</f>
        <v>0</v>
      </c>
      <c r="D16" s="23">
        <f>'Resid Cust Fcst '!$AK17*'Resid TSM UC Adj'!D16</f>
        <v>0</v>
      </c>
      <c r="E16" s="45">
        <f>IF(SUM(B16:D16)=0,0,SUM(B16:D16)/'Resid Cust Fcst '!AK17)</f>
        <v>0</v>
      </c>
      <c r="F16" s="137">
        <f>'Resid Cust Fcst '!$AL17*'Resid TSM UC Adj'!F16</f>
        <v>0</v>
      </c>
      <c r="G16" s="23">
        <f>'Resid Cust Fcst '!$AL17*'Resid TSM UC Adj'!G16</f>
        <v>0</v>
      </c>
      <c r="H16" s="23">
        <f>'Resid Cust Fcst '!$AL17*'Resid TSM UC Adj'!H16</f>
        <v>0</v>
      </c>
      <c r="I16" s="45">
        <f>IF(SUM(F16:H16)=0,0,SUM(F16:H16)/'Resid Cust Fcst '!AL17)</f>
        <v>0</v>
      </c>
      <c r="J16" s="137">
        <f>'Resid Cust Fcst '!$AM17*'Resid TSM UC Adj'!J16</f>
        <v>0</v>
      </c>
      <c r="K16" s="23">
        <f>'Resid Cust Fcst '!$AM17*'Resid TSM UC Adj'!K16</f>
        <v>0</v>
      </c>
      <c r="L16" s="23">
        <f>'Resid Cust Fcst '!$AM17*'Resid TSM UC Adj'!L16</f>
        <v>0</v>
      </c>
      <c r="M16" s="45">
        <f>IF(SUM(J16:L16)=0,0,SUM(J16:L16)/'Resid Cust Fcst '!AM17)</f>
        <v>0</v>
      </c>
      <c r="N16" s="137">
        <f>'Resid Cust Fcst '!$AN17*'Resid TSM UC Adj'!N16</f>
        <v>0</v>
      </c>
      <c r="O16" s="23">
        <f>'Resid Cust Fcst '!$AN17*'Resid TSM UC Adj'!O16</f>
        <v>0</v>
      </c>
      <c r="P16" s="23">
        <f>'Resid Cust Fcst '!$AN17*'Resid TSM UC Adj'!P16</f>
        <v>0</v>
      </c>
      <c r="Q16" s="45">
        <f>IF(SUM(N16:P16)=0,0,SUM(N16:P16)/'Resid Cust Fcst '!AN17)</f>
        <v>0</v>
      </c>
      <c r="R16" s="137">
        <f t="shared" si="2"/>
        <v>0</v>
      </c>
      <c r="S16" s="23">
        <f t="shared" si="0"/>
        <v>0</v>
      </c>
      <c r="T16" s="23">
        <f t="shared" si="0"/>
        <v>0</v>
      </c>
      <c r="U16" s="45">
        <f>IF(SUM(R16:T16)=0,0,SUM(R16:T16)/'Resid Cust Fcst '!AO17)</f>
        <v>0</v>
      </c>
      <c r="V16" s="137">
        <f>'Resid Cust Fcst '!$AP17*'Resid TSM UC Adj'!R16</f>
        <v>0</v>
      </c>
      <c r="W16" s="23">
        <f>'Resid Cust Fcst '!$AP17*'Resid TSM UC Adj'!S16</f>
        <v>0</v>
      </c>
      <c r="X16" s="23">
        <f>'Resid Cust Fcst '!$AP17*'Resid TSM UC Adj'!T16</f>
        <v>0</v>
      </c>
      <c r="Y16" s="45">
        <f>IF(SUM(V16:X16)=0,0,SUM(V16:X16)/'Resid Cust Fcst '!AP17)</f>
        <v>0</v>
      </c>
      <c r="Z16" s="137">
        <f t="shared" si="3"/>
        <v>0</v>
      </c>
      <c r="AA16" s="23">
        <f t="shared" si="1"/>
        <v>0</v>
      </c>
      <c r="AB16" s="23">
        <f t="shared" si="1"/>
        <v>0</v>
      </c>
      <c r="AC16" s="45">
        <f>IF(SUM(Z16:AB16)=0,0,SUM(Z16:AB16)/'Resid Cust Fcst '!AQ17)</f>
        <v>0</v>
      </c>
    </row>
    <row r="17" spans="1:29">
      <c r="A17" s="153" t="s">
        <v>121</v>
      </c>
      <c r="B17" s="137">
        <f>'Resid Cust Fcst '!$AK18*'Resid TSM UC Adj'!J17</f>
        <v>0</v>
      </c>
      <c r="C17" s="23">
        <f>'Resid Cust Fcst '!$AK18*'Resid TSM UC Adj'!K17</f>
        <v>0</v>
      </c>
      <c r="D17" s="23">
        <f>'Resid Cust Fcst '!$AK18*'Resid TSM UC Adj'!L17</f>
        <v>0</v>
      </c>
      <c r="E17" s="45">
        <f>IF(SUM(B17:D17)=0,0,SUM(B17:D17)/'Resid Cust Fcst '!AK18)</f>
        <v>0</v>
      </c>
      <c r="F17" s="137">
        <f>'Resid Cust Fcst '!$AL18*'Resid TSM UC Adj'!F17</f>
        <v>0</v>
      </c>
      <c r="G17" s="23">
        <f>'Resid Cust Fcst '!$AL18*'Resid TSM UC Adj'!G17</f>
        <v>0</v>
      </c>
      <c r="H17" s="23">
        <f>'Resid Cust Fcst '!$AL18*'Resid TSM UC Adj'!H17</f>
        <v>0</v>
      </c>
      <c r="I17" s="45">
        <f>IF(SUM(F17:H17)=0,0,SUM(F17:H17)/'Resid Cust Fcst '!AL18)</f>
        <v>0</v>
      </c>
      <c r="J17" s="137">
        <f>'Resid Cust Fcst '!$AM18*'Resid TSM UC Adj'!J17</f>
        <v>0</v>
      </c>
      <c r="K17" s="23">
        <f>'Resid Cust Fcst '!$AM18*'Resid TSM UC Adj'!K17</f>
        <v>0</v>
      </c>
      <c r="L17" s="23">
        <f>'Resid Cust Fcst '!$AM18*'Resid TSM UC Adj'!L17</f>
        <v>0</v>
      </c>
      <c r="M17" s="45">
        <f>IF(SUM(J17:L17)=0,0,SUM(J17:L17)/'Resid Cust Fcst '!AM18)</f>
        <v>0</v>
      </c>
      <c r="N17" s="137">
        <f>'Resid Cust Fcst '!$AN18*'Resid TSM UC Adj'!N17</f>
        <v>0</v>
      </c>
      <c r="O17" s="23">
        <f>'Resid Cust Fcst '!$AN18*'Resid TSM UC Adj'!O17</f>
        <v>0</v>
      </c>
      <c r="P17" s="23">
        <f>'Resid Cust Fcst '!$AN18*'Resid TSM UC Adj'!P17</f>
        <v>0</v>
      </c>
      <c r="Q17" s="45">
        <f>IF(SUM(N17:P17)=0,0,SUM(N17:P17)/'Resid Cust Fcst '!AN18)</f>
        <v>0</v>
      </c>
      <c r="R17" s="137">
        <f t="shared" si="2"/>
        <v>0</v>
      </c>
      <c r="S17" s="23">
        <f t="shared" si="0"/>
        <v>0</v>
      </c>
      <c r="T17" s="23">
        <f t="shared" si="0"/>
        <v>0</v>
      </c>
      <c r="U17" s="45">
        <f>IF(SUM(R17:T17)=0,0,SUM(R17:T17)/'Resid Cust Fcst '!AO18)</f>
        <v>0</v>
      </c>
      <c r="V17" s="137">
        <f>'Resid Cust Fcst '!$AP18*'Resid TSM UC Adj'!R17</f>
        <v>0</v>
      </c>
      <c r="W17" s="23">
        <f>'Resid Cust Fcst '!$AP18*'Resid TSM UC Adj'!S17</f>
        <v>0</v>
      </c>
      <c r="X17" s="23">
        <f>'Resid Cust Fcst '!$AP18*'Resid TSM UC Adj'!T17</f>
        <v>0</v>
      </c>
      <c r="Y17" s="45">
        <f>IF(SUM(V17:X17)=0,0,SUM(V17:X17)/'Resid Cust Fcst '!AP18)</f>
        <v>0</v>
      </c>
      <c r="Z17" s="137">
        <f t="shared" si="3"/>
        <v>0</v>
      </c>
      <c r="AA17" s="23">
        <f t="shared" si="1"/>
        <v>0</v>
      </c>
      <c r="AB17" s="23">
        <f t="shared" si="1"/>
        <v>0</v>
      </c>
      <c r="AC17" s="45">
        <f>IF(SUM(Z17:AB17)=0,0,SUM(Z17:AB17)/'Resid Cust Fcst '!AQ18)</f>
        <v>0</v>
      </c>
    </row>
    <row r="18" spans="1:29">
      <c r="A18" s="153" t="s">
        <v>12</v>
      </c>
      <c r="B18" s="137">
        <f>'Resid Cust Fcst '!$AK19*'Resid TSM UC Adj'!J18</f>
        <v>0</v>
      </c>
      <c r="C18" s="23">
        <f>'Resid Cust Fcst '!$AK19*'Resid TSM UC Adj'!K18</f>
        <v>0</v>
      </c>
      <c r="D18" s="23">
        <f>'Resid Cust Fcst '!$AK19*'Resid TSM UC Adj'!L18</f>
        <v>0</v>
      </c>
      <c r="E18" s="45">
        <f>IF(SUM(B18:D18)=0,0,SUM(B18:D18)/'Resid Cust Fcst '!AK19)</f>
        <v>0</v>
      </c>
      <c r="F18" s="137">
        <f>'Resid Cust Fcst '!$AL19*'Resid TSM UC Adj'!J18</f>
        <v>0</v>
      </c>
      <c r="G18" s="23">
        <f>'Resid Cust Fcst '!$AL19*'Resid TSM UC Adj'!K18</f>
        <v>0</v>
      </c>
      <c r="H18" s="23">
        <f>'Resid Cust Fcst '!$AL19*'Resid TSM UC Adj'!L18</f>
        <v>0</v>
      </c>
      <c r="I18" s="45">
        <f>IF(SUM(F18:H18)=0,0,SUM(F18:H18)/'Resid Cust Fcst '!AL19)</f>
        <v>0</v>
      </c>
      <c r="J18" s="137">
        <f>'Resid Cust Fcst '!$AM19*'Resid TSM UC Adj'!J18</f>
        <v>0</v>
      </c>
      <c r="K18" s="23">
        <f>'Resid Cust Fcst '!$AM19*'Resid TSM UC Adj'!K18</f>
        <v>0</v>
      </c>
      <c r="L18" s="23">
        <f>'Resid Cust Fcst '!$AM19*'Resid TSM UC Adj'!L18</f>
        <v>0</v>
      </c>
      <c r="M18" s="45">
        <f>IF(SUM(J18:L18)=0,0,SUM(J18:L18)/'Resid Cust Fcst '!AM19)</f>
        <v>0</v>
      </c>
      <c r="N18" s="137">
        <f>'Resid Cust Fcst '!$AN19*'Resid TSM UC Adj'!N18</f>
        <v>0</v>
      </c>
      <c r="O18" s="23">
        <f>'Resid Cust Fcst '!$AN19*'Resid TSM UC Adj'!O18</f>
        <v>0</v>
      </c>
      <c r="P18" s="23">
        <f>'Resid Cust Fcst '!$AN19*'Resid TSM UC Adj'!P18</f>
        <v>0</v>
      </c>
      <c r="Q18" s="45">
        <f>IF(SUM(N18:P18)=0,0,SUM(N18:P18)/'Resid Cust Fcst '!AN19)</f>
        <v>0</v>
      </c>
      <c r="R18" s="137">
        <f t="shared" si="2"/>
        <v>0</v>
      </c>
      <c r="S18" s="23">
        <f t="shared" si="0"/>
        <v>0</v>
      </c>
      <c r="T18" s="23">
        <f t="shared" si="0"/>
        <v>0</v>
      </c>
      <c r="U18" s="45">
        <f>IF(SUM(R18:T18)=0,0,SUM(R18:T18)/'Resid Cust Fcst '!AO19)</f>
        <v>0</v>
      </c>
      <c r="V18" s="137">
        <f>'Resid Cust Fcst '!$AP19*'Resid TSM UC Adj'!R18</f>
        <v>0</v>
      </c>
      <c r="W18" s="23">
        <f>'Resid Cust Fcst '!$AP19*'Resid TSM UC Adj'!S18</f>
        <v>0</v>
      </c>
      <c r="X18" s="23">
        <f>'Resid Cust Fcst '!$AP19*'Resid TSM UC Adj'!T18</f>
        <v>0</v>
      </c>
      <c r="Y18" s="45">
        <f>IF(SUM(V18:X18)=0,0,SUM(V18:X18)/'Resid Cust Fcst '!AP19)</f>
        <v>0</v>
      </c>
      <c r="Z18" s="137">
        <f t="shared" si="3"/>
        <v>0</v>
      </c>
      <c r="AA18" s="23">
        <f t="shared" si="1"/>
        <v>0</v>
      </c>
      <c r="AB18" s="23">
        <f t="shared" si="1"/>
        <v>0</v>
      </c>
      <c r="AC18" s="45">
        <f>IF(SUM(Z18:AB18)=0,0,SUM(Z18:AB18)/'Resid Cust Fcst '!AQ19)</f>
        <v>0</v>
      </c>
    </row>
    <row r="19" spans="1:29" s="58" customFormat="1">
      <c r="A19" s="134" t="s">
        <v>13</v>
      </c>
      <c r="B19" s="137">
        <f>'Resid Cust Fcst '!$AK20*'Resid TSM UC Adj'!J19</f>
        <v>0</v>
      </c>
      <c r="C19" s="23">
        <f>'Resid Cust Fcst '!$AK20*'Resid TSM UC Adj'!K19</f>
        <v>0</v>
      </c>
      <c r="D19" s="23">
        <f>'Resid Cust Fcst '!$AK20*'Resid TSM UC Adj'!L19</f>
        <v>0</v>
      </c>
      <c r="E19" s="45">
        <f>IF(SUM(B19:D19)=0,0,SUM(B19:D19)/'Resid Cust Fcst '!AK20)</f>
        <v>0</v>
      </c>
      <c r="F19" s="137">
        <f>'Resid Cust Fcst '!$AL20*'Resid TSM UC Adj'!J19</f>
        <v>0</v>
      </c>
      <c r="G19" s="23">
        <f>'Resid Cust Fcst '!$AL20*'Resid TSM UC Adj'!K19</f>
        <v>0</v>
      </c>
      <c r="H19" s="23">
        <f>'Resid Cust Fcst '!$AL20*'Resid TSM UC Adj'!L19</f>
        <v>0</v>
      </c>
      <c r="I19" s="45">
        <f>IF(SUM(F19:H19)=0,0,SUM(F19:H19)/'Resid Cust Fcst '!AL20)</f>
        <v>0</v>
      </c>
      <c r="J19" s="137">
        <f>'Resid Cust Fcst '!$AM20*'Resid TSM UC Adj'!J19</f>
        <v>0</v>
      </c>
      <c r="K19" s="23">
        <f>'Resid Cust Fcst '!$AM20*'Resid TSM UC Adj'!K19</f>
        <v>0</v>
      </c>
      <c r="L19" s="23">
        <f>'Resid Cust Fcst '!$AM20*'Resid TSM UC Adj'!L19</f>
        <v>0</v>
      </c>
      <c r="M19" s="45">
        <f>IF(SUM(J19:L19)=0,0,SUM(J19:L19)/'Resid Cust Fcst '!AM20)</f>
        <v>0</v>
      </c>
      <c r="N19" s="137">
        <f>'Resid Cust Fcst '!$AN20*'Resid TSM UC Adj'!N19</f>
        <v>0</v>
      </c>
      <c r="O19" s="23">
        <f>'Resid Cust Fcst '!$AN20*'Resid TSM UC Adj'!O19</f>
        <v>0</v>
      </c>
      <c r="P19" s="23">
        <f>'Resid Cust Fcst '!$AN20*'Resid TSM UC Adj'!P19</f>
        <v>0</v>
      </c>
      <c r="Q19" s="45">
        <f>IF(SUM(N19:P19)=0,0,SUM(N19:P19)/'Resid Cust Fcst '!AN20)</f>
        <v>0</v>
      </c>
      <c r="R19" s="137">
        <f t="shared" si="2"/>
        <v>0</v>
      </c>
      <c r="S19" s="23">
        <f t="shared" si="0"/>
        <v>0</v>
      </c>
      <c r="T19" s="23">
        <f t="shared" si="0"/>
        <v>0</v>
      </c>
      <c r="U19" s="45">
        <f>IF(SUM(R19:T19)=0,0,SUM(R19:T19)/'Resid Cust Fcst '!AO20)</f>
        <v>0</v>
      </c>
      <c r="V19" s="137">
        <f>'Resid Cust Fcst '!$AP20*'Resid TSM UC Adj'!R19</f>
        <v>0</v>
      </c>
      <c r="W19" s="23">
        <f>'Resid Cust Fcst '!$AP20*'Resid TSM UC Adj'!S19</f>
        <v>0</v>
      </c>
      <c r="X19" s="23">
        <f>'Resid Cust Fcst '!$AP20*'Resid TSM UC Adj'!T19</f>
        <v>0</v>
      </c>
      <c r="Y19" s="45">
        <f>IF(SUM(V19:X19)=0,0,SUM(V19:X19)/'Resid Cust Fcst '!AP20)</f>
        <v>0</v>
      </c>
      <c r="Z19" s="137">
        <f t="shared" si="3"/>
        <v>0</v>
      </c>
      <c r="AA19" s="23">
        <f t="shared" si="1"/>
        <v>0</v>
      </c>
      <c r="AB19" s="23">
        <f t="shared" si="1"/>
        <v>0</v>
      </c>
      <c r="AC19" s="45">
        <f>IF(SUM(Z19:AB19)=0,0,SUM(Z19:AB19)/'Resid Cust Fcst '!AQ20)</f>
        <v>0</v>
      </c>
    </row>
    <row r="20" spans="1:29">
      <c r="A20" s="153" t="s">
        <v>122</v>
      </c>
      <c r="B20" s="137">
        <f>'Resid Cust Fcst '!$AK21*'Resid TSM UC Adj'!J20</f>
        <v>0</v>
      </c>
      <c r="C20" s="23">
        <f>'Resid Cust Fcst '!$AK21*'Resid TSM UC Adj'!K20</f>
        <v>0</v>
      </c>
      <c r="D20" s="23">
        <f>'Resid Cust Fcst '!$AK21*'Resid TSM UC Adj'!L20</f>
        <v>0</v>
      </c>
      <c r="E20" s="45">
        <f>IF(SUM(B20:D20)=0,0,SUM(B20:D20)/'Resid Cust Fcst '!AK21)</f>
        <v>0</v>
      </c>
      <c r="F20" s="137">
        <f>'Resid Cust Fcst '!$AL21*'Resid TSM UC Adj'!J20</f>
        <v>0</v>
      </c>
      <c r="G20" s="23">
        <f>'Resid Cust Fcst '!$AL21*'Resid TSM UC Adj'!K20</f>
        <v>0</v>
      </c>
      <c r="H20" s="23">
        <f>'Resid Cust Fcst '!$AL21*'Resid TSM UC Adj'!L20</f>
        <v>0</v>
      </c>
      <c r="I20" s="45">
        <f>IF(SUM(F20:H20)=0,0,SUM(F20:H20)/'Resid Cust Fcst '!AL21)</f>
        <v>0</v>
      </c>
      <c r="J20" s="137">
        <f>'Resid Cust Fcst '!$AM21*'Resid TSM UC Adj'!J20</f>
        <v>0</v>
      </c>
      <c r="K20" s="23">
        <f>'Resid Cust Fcst '!$AM21*'Resid TSM UC Adj'!K20</f>
        <v>0</v>
      </c>
      <c r="L20" s="23">
        <f>'Resid Cust Fcst '!$AM21*'Resid TSM UC Adj'!L20</f>
        <v>0</v>
      </c>
      <c r="M20" s="45">
        <f>IF(SUM(J20:L20)=0,0,SUM(J20:L20)/'Resid Cust Fcst '!AM21)</f>
        <v>0</v>
      </c>
      <c r="N20" s="137">
        <f>'Resid Cust Fcst '!$AN21*'Resid TSM UC Adj'!N20</f>
        <v>0</v>
      </c>
      <c r="O20" s="23">
        <f>'Resid Cust Fcst '!$AN21*'Resid TSM UC Adj'!O20</f>
        <v>0</v>
      </c>
      <c r="P20" s="23">
        <f>'Resid Cust Fcst '!$AN21*'Resid TSM UC Adj'!P20</f>
        <v>0</v>
      </c>
      <c r="Q20" s="45">
        <f>IF(SUM(N20:P20)=0,0,SUM(N20:P20)/'Resid Cust Fcst '!AN21)</f>
        <v>0</v>
      </c>
      <c r="R20" s="137">
        <f t="shared" si="2"/>
        <v>0</v>
      </c>
      <c r="S20" s="23">
        <f t="shared" si="0"/>
        <v>0</v>
      </c>
      <c r="T20" s="23">
        <f t="shared" si="0"/>
        <v>0</v>
      </c>
      <c r="U20" s="45">
        <f>IF(SUM(R20:T20)=0,0,SUM(R20:T20)/'Resid Cust Fcst '!AO21)</f>
        <v>0</v>
      </c>
      <c r="V20" s="137">
        <f>'Resid Cust Fcst '!$AP21*'Resid TSM UC Adj'!R20</f>
        <v>0</v>
      </c>
      <c r="W20" s="23">
        <f>'Resid Cust Fcst '!$AP21*'Resid TSM UC Adj'!S20</f>
        <v>0</v>
      </c>
      <c r="X20" s="23">
        <f>'Resid Cust Fcst '!$AP21*'Resid TSM UC Adj'!T20</f>
        <v>0</v>
      </c>
      <c r="Y20" s="45">
        <f>IF(SUM(V20:X20)=0,0,SUM(V20:X20)/'Resid Cust Fcst '!AP21)</f>
        <v>0</v>
      </c>
      <c r="Z20" s="137">
        <f t="shared" si="3"/>
        <v>0</v>
      </c>
      <c r="AA20" s="23">
        <f t="shared" si="1"/>
        <v>0</v>
      </c>
      <c r="AB20" s="23">
        <f t="shared" si="1"/>
        <v>0</v>
      </c>
      <c r="AC20" s="45">
        <f>IF(SUM(Z20:AB20)=0,0,SUM(Z20:AB20)/'Resid Cust Fcst '!AQ21)</f>
        <v>0</v>
      </c>
    </row>
    <row r="21" spans="1:29">
      <c r="A21" s="153" t="s">
        <v>123</v>
      </c>
      <c r="B21" s="137">
        <f>'Resid Cust Fcst '!$AK22*'Resid TSM UC Adj'!J21</f>
        <v>0</v>
      </c>
      <c r="C21" s="23">
        <f>'Resid Cust Fcst '!$AK22*'Resid TSM UC Adj'!K21</f>
        <v>0</v>
      </c>
      <c r="D21" s="23">
        <f>'Resid Cust Fcst '!$AK22*'Resid TSM UC Adj'!L21</f>
        <v>0</v>
      </c>
      <c r="E21" s="45">
        <f>IF(SUM(B21:D21)=0,0,SUM(B21:D21)/'Resid Cust Fcst '!AK22)</f>
        <v>0</v>
      </c>
      <c r="F21" s="137">
        <f>'Resid Cust Fcst '!$AL22*'Resid TSM UC Adj'!J21</f>
        <v>0</v>
      </c>
      <c r="G21" s="23">
        <f>'Resid Cust Fcst '!$AL22*'Resid TSM UC Adj'!K21</f>
        <v>0</v>
      </c>
      <c r="H21" s="23">
        <f>'Resid Cust Fcst '!$AL22*'Resid TSM UC Adj'!L21</f>
        <v>0</v>
      </c>
      <c r="I21" s="45">
        <f>IF(SUM(F21:H21)=0,0,SUM(F21:H21)/'Resid Cust Fcst '!AL22)</f>
        <v>0</v>
      </c>
      <c r="J21" s="137">
        <f>'Resid Cust Fcst '!$AM22*'Resid TSM UC Adj'!J21</f>
        <v>0</v>
      </c>
      <c r="K21" s="23">
        <f>'Resid Cust Fcst '!$AM22*'Resid TSM UC Adj'!K21</f>
        <v>0</v>
      </c>
      <c r="L21" s="23">
        <f>'Resid Cust Fcst '!$AM22*'Resid TSM UC Adj'!L21</f>
        <v>0</v>
      </c>
      <c r="M21" s="45">
        <f>IF(SUM(J21:L21)=0,0,SUM(J21:L21)/'Resid Cust Fcst '!AM22)</f>
        <v>0</v>
      </c>
      <c r="N21" s="137">
        <f>'Resid Cust Fcst '!$AN22*'Resid TSM UC Adj'!N21</f>
        <v>0</v>
      </c>
      <c r="O21" s="23">
        <f>'Resid Cust Fcst '!$AN22*'Resid TSM UC Adj'!O21</f>
        <v>0</v>
      </c>
      <c r="P21" s="23">
        <f>'Resid Cust Fcst '!$AN22*'Resid TSM UC Adj'!P21</f>
        <v>0</v>
      </c>
      <c r="Q21" s="45">
        <f>IF(SUM(N21:P21)=0,0,SUM(N21:P21)/'Resid Cust Fcst '!AN22)</f>
        <v>0</v>
      </c>
      <c r="R21" s="137">
        <f t="shared" si="2"/>
        <v>0</v>
      </c>
      <c r="S21" s="23">
        <f t="shared" si="0"/>
        <v>0</v>
      </c>
      <c r="T21" s="23">
        <f t="shared" si="0"/>
        <v>0</v>
      </c>
      <c r="U21" s="45">
        <f>IF(SUM(R21:T21)=0,0,SUM(R21:T21)/'Resid Cust Fcst '!AO22)</f>
        <v>0</v>
      </c>
      <c r="V21" s="137">
        <f>'Resid Cust Fcst '!$AP22*'Resid TSM UC Adj'!R21</f>
        <v>0</v>
      </c>
      <c r="W21" s="23">
        <f>'Resid Cust Fcst '!$AP22*'Resid TSM UC Adj'!S21</f>
        <v>0</v>
      </c>
      <c r="X21" s="23">
        <f>'Resid Cust Fcst '!$AP22*'Resid TSM UC Adj'!T21</f>
        <v>0</v>
      </c>
      <c r="Y21" s="45">
        <f>IF(SUM(V21:X21)=0,0,SUM(V21:X21)/'Resid Cust Fcst '!AP22)</f>
        <v>0</v>
      </c>
      <c r="Z21" s="137">
        <f t="shared" si="3"/>
        <v>0</v>
      </c>
      <c r="AA21" s="23">
        <f t="shared" si="1"/>
        <v>0</v>
      </c>
      <c r="AB21" s="23">
        <f t="shared" si="1"/>
        <v>0</v>
      </c>
      <c r="AC21" s="45">
        <f>IF(SUM(Z21:AB21)=0,0,SUM(Z21:AB21)/'Resid Cust Fcst '!AQ22)</f>
        <v>0</v>
      </c>
    </row>
    <row r="22" spans="1:29">
      <c r="A22" s="153" t="s">
        <v>14</v>
      </c>
      <c r="B22" s="137">
        <f>'Resid Cust Fcst '!$AK23*'Resid TSM UC Adj'!J22</f>
        <v>0</v>
      </c>
      <c r="C22" s="23">
        <f>'Resid Cust Fcst '!$AK23*'Resid TSM UC Adj'!K22</f>
        <v>0</v>
      </c>
      <c r="D22" s="23">
        <f>'Resid Cust Fcst '!$AK23*'Resid TSM UC Adj'!L22</f>
        <v>0</v>
      </c>
      <c r="E22" s="45">
        <f>IF(SUM(B22:D22)=0,0,SUM(B22:D22)/'Resid Cust Fcst '!AK23)</f>
        <v>0</v>
      </c>
      <c r="F22" s="137">
        <f>'Resid Cust Fcst '!$AL23*'Resid TSM UC Adj'!J22</f>
        <v>0</v>
      </c>
      <c r="G22" s="23">
        <f>'Resid Cust Fcst '!$AL23*'Resid TSM UC Adj'!K22</f>
        <v>0</v>
      </c>
      <c r="H22" s="23">
        <f>'Resid Cust Fcst '!$AL23*'Resid TSM UC Adj'!L22</f>
        <v>0</v>
      </c>
      <c r="I22" s="45">
        <f>IF(SUM(F22:H22)=0,0,SUM(F22:H22)/'Resid Cust Fcst '!AL23)</f>
        <v>0</v>
      </c>
      <c r="J22" s="137">
        <f>'Resid Cust Fcst '!$AM23*'Resid TSM UC Adj'!J22</f>
        <v>0</v>
      </c>
      <c r="K22" s="23">
        <f>'Resid Cust Fcst '!$AM23*'Resid TSM UC Adj'!K22</f>
        <v>0</v>
      </c>
      <c r="L22" s="23">
        <f>'Resid Cust Fcst '!$AM23*'Resid TSM UC Adj'!L22</f>
        <v>0</v>
      </c>
      <c r="M22" s="45">
        <f>IF(SUM(J22:L22)=0,0,SUM(J22:L22)/'Resid Cust Fcst '!AM23)</f>
        <v>0</v>
      </c>
      <c r="N22" s="137">
        <f>'Resid Cust Fcst '!$AN23*'Resid TSM UC Adj'!N22</f>
        <v>0</v>
      </c>
      <c r="O22" s="23">
        <f>'Resid Cust Fcst '!$AN23*'Resid TSM UC Adj'!O22</f>
        <v>0</v>
      </c>
      <c r="P22" s="23">
        <f>'Resid Cust Fcst '!$AN23*'Resid TSM UC Adj'!P22</f>
        <v>0</v>
      </c>
      <c r="Q22" s="45">
        <f>IF(SUM(N22:P22)=0,0,SUM(N22:P22)/'Resid Cust Fcst '!AN23)</f>
        <v>0</v>
      </c>
      <c r="R22" s="137">
        <f t="shared" si="2"/>
        <v>0</v>
      </c>
      <c r="S22" s="23">
        <f t="shared" si="0"/>
        <v>0</v>
      </c>
      <c r="T22" s="23">
        <f t="shared" si="0"/>
        <v>0</v>
      </c>
      <c r="U22" s="45">
        <f>IF(SUM(R22:T22)=0,0,SUM(R22:T22)/'Resid Cust Fcst '!AO23)</f>
        <v>0</v>
      </c>
      <c r="V22" s="137">
        <f>'Resid Cust Fcst '!$AP23*'Resid TSM UC Adj'!R22</f>
        <v>0</v>
      </c>
      <c r="W22" s="23">
        <f>'Resid Cust Fcst '!$AP23*'Resid TSM UC Adj'!S22</f>
        <v>0</v>
      </c>
      <c r="X22" s="23">
        <f>'Resid Cust Fcst '!$AP23*'Resid TSM UC Adj'!T22</f>
        <v>0</v>
      </c>
      <c r="Y22" s="45">
        <f>IF(SUM(V22:X22)=0,0,SUM(V22:X22)/'Resid Cust Fcst '!AP23)</f>
        <v>0</v>
      </c>
      <c r="Z22" s="137">
        <f t="shared" si="3"/>
        <v>0</v>
      </c>
      <c r="AA22" s="23">
        <f t="shared" si="1"/>
        <v>0</v>
      </c>
      <c r="AB22" s="23">
        <f t="shared" si="1"/>
        <v>0</v>
      </c>
      <c r="AC22" s="45">
        <f>IF(SUM(Z22:AB22)=0,0,SUM(Z22:AB22)/'Resid Cust Fcst '!AQ23)</f>
        <v>0</v>
      </c>
    </row>
    <row r="23" spans="1:29">
      <c r="A23" s="153" t="s">
        <v>15</v>
      </c>
      <c r="B23" s="137">
        <f>'Resid Cust Fcst '!$AK24*'Resid TSM UC Adj'!J23</f>
        <v>0</v>
      </c>
      <c r="C23" s="23">
        <f>'Resid Cust Fcst '!$AK24*'Resid TSM UC Adj'!K23</f>
        <v>0</v>
      </c>
      <c r="D23" s="23">
        <f>'Resid Cust Fcst '!$AK24*'Resid TSM UC Adj'!L23</f>
        <v>0</v>
      </c>
      <c r="E23" s="45">
        <f>IF(SUM(B23:D23)=0,0,SUM(B23:D23)/'Resid Cust Fcst '!AK24)</f>
        <v>0</v>
      </c>
      <c r="F23" s="137">
        <f>'Resid Cust Fcst '!$AL24*'Resid TSM UC Adj'!J23</f>
        <v>0</v>
      </c>
      <c r="G23" s="23">
        <f>'Resid Cust Fcst '!$AL24*'Resid TSM UC Adj'!K23</f>
        <v>0</v>
      </c>
      <c r="H23" s="23">
        <f>'Resid Cust Fcst '!$AL24*'Resid TSM UC Adj'!L23</f>
        <v>0</v>
      </c>
      <c r="I23" s="45">
        <f>IF(SUM(F23:H23)=0,0,SUM(F23:H23)/'Resid Cust Fcst '!AL24)</f>
        <v>0</v>
      </c>
      <c r="J23" s="137">
        <f>'Resid Cust Fcst '!$AM24*'Resid TSM UC Adj'!J23</f>
        <v>0</v>
      </c>
      <c r="K23" s="23">
        <f>'Resid Cust Fcst '!$AM24*'Resid TSM UC Adj'!K23</f>
        <v>0</v>
      </c>
      <c r="L23" s="23">
        <f>'Resid Cust Fcst '!$AM24*'Resid TSM UC Adj'!L23</f>
        <v>0</v>
      </c>
      <c r="M23" s="45">
        <f>IF(SUM(J23:L23)=0,0,SUM(J23:L23)/'Resid Cust Fcst '!AM24)</f>
        <v>0</v>
      </c>
      <c r="N23" s="137">
        <f>'Resid Cust Fcst '!$AN24*'Resid TSM UC Adj'!N23</f>
        <v>0</v>
      </c>
      <c r="O23" s="23">
        <f>'Resid Cust Fcst '!$AN24*'Resid TSM UC Adj'!O23</f>
        <v>0</v>
      </c>
      <c r="P23" s="23">
        <f>'Resid Cust Fcst '!$AN24*'Resid TSM UC Adj'!P23</f>
        <v>0</v>
      </c>
      <c r="Q23" s="45">
        <f>IF(SUM(N23:P23)=0,0,SUM(N23:P23)/'Resid Cust Fcst '!AN24)</f>
        <v>0</v>
      </c>
      <c r="R23" s="137">
        <f t="shared" si="2"/>
        <v>0</v>
      </c>
      <c r="S23" s="23">
        <f t="shared" ref="S23:S37" si="4">C23+G23+K23+O23</f>
        <v>0</v>
      </c>
      <c r="T23" s="23">
        <f t="shared" ref="T23:T37" si="5">D23+H23+L23+P23</f>
        <v>0</v>
      </c>
      <c r="U23" s="45">
        <f>IF(SUM(R23:T23)=0,0,SUM(R23:T23)/'Resid Cust Fcst '!AO24)</f>
        <v>0</v>
      </c>
      <c r="V23" s="137">
        <f>'Resid Cust Fcst '!$AP24*'Resid TSM UC Adj'!R23</f>
        <v>0</v>
      </c>
      <c r="W23" s="23">
        <f>'Resid Cust Fcst '!$AP24*'Resid TSM UC Adj'!S23</f>
        <v>0</v>
      </c>
      <c r="X23" s="23">
        <f>'Resid Cust Fcst '!$AP24*'Resid TSM UC Adj'!T23</f>
        <v>0</v>
      </c>
      <c r="Y23" s="45">
        <f>IF(SUM(V23:X23)=0,0,SUM(V23:X23)/'Resid Cust Fcst '!AP24)</f>
        <v>0</v>
      </c>
      <c r="Z23" s="137">
        <f t="shared" si="3"/>
        <v>0</v>
      </c>
      <c r="AA23" s="23">
        <f t="shared" ref="AA23:AA37" si="6">S23+W23</f>
        <v>0</v>
      </c>
      <c r="AB23" s="23">
        <f t="shared" ref="AB23:AB37" si="7">T23+X23</f>
        <v>0</v>
      </c>
      <c r="AC23" s="45">
        <f>IF(SUM(Z23:AB23)=0,0,SUM(Z23:AB23)/'Resid Cust Fcst '!AQ24)</f>
        <v>0</v>
      </c>
    </row>
    <row r="24" spans="1:29">
      <c r="A24" s="153" t="s">
        <v>16</v>
      </c>
      <c r="B24" s="137">
        <f>'Resid Cust Fcst '!$AK25*'Resid TSM UC Adj'!J24</f>
        <v>0</v>
      </c>
      <c r="C24" s="23">
        <f>'Resid Cust Fcst '!$AK25*'Resid TSM UC Adj'!K24</f>
        <v>0</v>
      </c>
      <c r="D24" s="23">
        <f>'Resid Cust Fcst '!$AK25*'Resid TSM UC Adj'!L24</f>
        <v>0</v>
      </c>
      <c r="E24" s="45">
        <f>IF(SUM(B24:D24)=0,0,SUM(B24:D24)/'Resid Cust Fcst '!AK25)</f>
        <v>0</v>
      </c>
      <c r="F24" s="137">
        <f>'Resid Cust Fcst '!$AL25*'Resid TSM UC Adj'!J24</f>
        <v>0</v>
      </c>
      <c r="G24" s="23">
        <f>'Resid Cust Fcst '!$AL25*'Resid TSM UC Adj'!K24</f>
        <v>0</v>
      </c>
      <c r="H24" s="23">
        <f>'Resid Cust Fcst '!$AL25*'Resid TSM UC Adj'!L24</f>
        <v>0</v>
      </c>
      <c r="I24" s="45">
        <f>IF(SUM(F24:H24)=0,0,SUM(F24:H24)/'Resid Cust Fcst '!AL25)</f>
        <v>0</v>
      </c>
      <c r="J24" s="137">
        <f>'Resid Cust Fcst '!$AM25*'Resid TSM UC Adj'!J24</f>
        <v>0</v>
      </c>
      <c r="K24" s="23">
        <f>'Resid Cust Fcst '!$AM25*'Resid TSM UC Adj'!K24</f>
        <v>0</v>
      </c>
      <c r="L24" s="23">
        <f>'Resid Cust Fcst '!$AM25*'Resid TSM UC Adj'!L24</f>
        <v>0</v>
      </c>
      <c r="M24" s="45">
        <f>IF(SUM(J24:L24)=0,0,SUM(J24:L24)/'Resid Cust Fcst '!AM25)</f>
        <v>0</v>
      </c>
      <c r="N24" s="137">
        <f>'Resid Cust Fcst '!$AN25*'Resid TSM UC Adj'!N24</f>
        <v>0</v>
      </c>
      <c r="O24" s="23">
        <f>'Resid Cust Fcst '!$AN25*'Resid TSM UC Adj'!O24</f>
        <v>0</v>
      </c>
      <c r="P24" s="23">
        <f>'Resid Cust Fcst '!$AN25*'Resid TSM UC Adj'!P24</f>
        <v>0</v>
      </c>
      <c r="Q24" s="45">
        <f>IF(SUM(N24:P24)=0,0,SUM(N24:P24)/'Resid Cust Fcst '!AN25)</f>
        <v>0</v>
      </c>
      <c r="R24" s="137">
        <f t="shared" si="2"/>
        <v>0</v>
      </c>
      <c r="S24" s="23">
        <f t="shared" si="4"/>
        <v>0</v>
      </c>
      <c r="T24" s="23">
        <f t="shared" si="5"/>
        <v>0</v>
      </c>
      <c r="U24" s="45">
        <f>IF(SUM(R24:T24)=0,0,SUM(R24:T24)/'Resid Cust Fcst '!AO25)</f>
        <v>0</v>
      </c>
      <c r="V24" s="137">
        <f>'Resid Cust Fcst '!$AP25*'Resid TSM UC Adj'!R24</f>
        <v>0</v>
      </c>
      <c r="W24" s="23">
        <f>'Resid Cust Fcst '!$AP25*'Resid TSM UC Adj'!S24</f>
        <v>0</v>
      </c>
      <c r="X24" s="23">
        <f>'Resid Cust Fcst '!$AP25*'Resid TSM UC Adj'!T24</f>
        <v>0</v>
      </c>
      <c r="Y24" s="45">
        <f>IF(SUM(V24:X24)=0,0,SUM(V24:X24)/'Resid Cust Fcst '!AP25)</f>
        <v>0</v>
      </c>
      <c r="Z24" s="137">
        <f t="shared" si="3"/>
        <v>0</v>
      </c>
      <c r="AA24" s="23">
        <f t="shared" si="6"/>
        <v>0</v>
      </c>
      <c r="AB24" s="23">
        <f t="shared" si="7"/>
        <v>0</v>
      </c>
      <c r="AC24" s="45">
        <f>IF(SUM(Z24:AB24)=0,0,SUM(Z24:AB24)/'Resid Cust Fcst '!AQ25)</f>
        <v>0</v>
      </c>
    </row>
    <row r="25" spans="1:29">
      <c r="A25" s="153" t="s">
        <v>17</v>
      </c>
      <c r="B25" s="137">
        <f>'Resid Cust Fcst '!$AK26*'Resid TSM UC Adj'!J25</f>
        <v>0</v>
      </c>
      <c r="C25" s="23">
        <f>'Resid Cust Fcst '!$AK26*'Resid TSM UC Adj'!K25</f>
        <v>0</v>
      </c>
      <c r="D25" s="23">
        <f>'Resid Cust Fcst '!$AK26*'Resid TSM UC Adj'!L25</f>
        <v>0</v>
      </c>
      <c r="E25" s="45">
        <f>IF(SUM(B25:D25)=0,0,SUM(B25:D25)/'Resid Cust Fcst '!AK26)</f>
        <v>0</v>
      </c>
      <c r="F25" s="137">
        <f>'Resid Cust Fcst '!$AL26*'Resid TSM UC Adj'!J25</f>
        <v>0</v>
      </c>
      <c r="G25" s="23">
        <f>'Resid Cust Fcst '!$AL26*'Resid TSM UC Adj'!K25</f>
        <v>0</v>
      </c>
      <c r="H25" s="23">
        <f>'Resid Cust Fcst '!$AL26*'Resid TSM UC Adj'!L25</f>
        <v>0</v>
      </c>
      <c r="I25" s="45">
        <f>IF(SUM(F25:H25)=0,0,SUM(F25:H25)/'Resid Cust Fcst '!AL26)</f>
        <v>0</v>
      </c>
      <c r="J25" s="137">
        <f>'Resid Cust Fcst '!$AM26*'Resid TSM UC Adj'!J25</f>
        <v>0</v>
      </c>
      <c r="K25" s="23">
        <f>'Resid Cust Fcst '!$AM26*'Resid TSM UC Adj'!K25</f>
        <v>0</v>
      </c>
      <c r="L25" s="23">
        <f>'Resid Cust Fcst '!$AM26*'Resid TSM UC Adj'!L25</f>
        <v>0</v>
      </c>
      <c r="M25" s="45">
        <f>IF(SUM(J25:L25)=0,0,SUM(J25:L25)/'Resid Cust Fcst '!AM26)</f>
        <v>0</v>
      </c>
      <c r="N25" s="137">
        <f>'Resid Cust Fcst '!$AN26*'Resid TSM UC Adj'!N25</f>
        <v>0</v>
      </c>
      <c r="O25" s="23">
        <f>'Resid Cust Fcst '!$AN26*'Resid TSM UC Adj'!O25</f>
        <v>0</v>
      </c>
      <c r="P25" s="23">
        <f>'Resid Cust Fcst '!$AN26*'Resid TSM UC Adj'!P25</f>
        <v>0</v>
      </c>
      <c r="Q25" s="45">
        <f>IF(SUM(N25:P25)=0,0,SUM(N25:P25)/'Resid Cust Fcst '!AN26)</f>
        <v>0</v>
      </c>
      <c r="R25" s="137">
        <f t="shared" si="2"/>
        <v>0</v>
      </c>
      <c r="S25" s="23">
        <f t="shared" si="4"/>
        <v>0</v>
      </c>
      <c r="T25" s="23">
        <f t="shared" si="5"/>
        <v>0</v>
      </c>
      <c r="U25" s="45">
        <f>IF(SUM(R25:T25)=0,0,SUM(R25:T25)/'Resid Cust Fcst '!AO26)</f>
        <v>0</v>
      </c>
      <c r="V25" s="137">
        <f>'Resid Cust Fcst '!$AP26*'Resid TSM UC Adj'!R25</f>
        <v>0</v>
      </c>
      <c r="W25" s="23">
        <f>'Resid Cust Fcst '!$AP26*'Resid TSM UC Adj'!S25</f>
        <v>0</v>
      </c>
      <c r="X25" s="23">
        <f>'Resid Cust Fcst '!$AP26*'Resid TSM UC Adj'!T25</f>
        <v>0</v>
      </c>
      <c r="Y25" s="45">
        <f>IF(SUM(V25:X25)=0,0,SUM(V25:X25)/'Resid Cust Fcst '!AP26)</f>
        <v>0</v>
      </c>
      <c r="Z25" s="137">
        <f t="shared" si="3"/>
        <v>0</v>
      </c>
      <c r="AA25" s="23">
        <f t="shared" si="6"/>
        <v>0</v>
      </c>
      <c r="AB25" s="23">
        <f t="shared" si="7"/>
        <v>0</v>
      </c>
      <c r="AC25" s="45">
        <f>IF(SUM(Z25:AB25)=0,0,SUM(Z25:AB25)/'Resid Cust Fcst '!AQ26)</f>
        <v>0</v>
      </c>
    </row>
    <row r="26" spans="1:29">
      <c r="A26" s="153" t="s">
        <v>18</v>
      </c>
      <c r="B26" s="137">
        <f>'Resid Cust Fcst '!$AK27*'Resid TSM UC Adj'!J26</f>
        <v>0</v>
      </c>
      <c r="C26" s="23">
        <f>'Resid Cust Fcst '!$AK27*'Resid TSM UC Adj'!K26</f>
        <v>0</v>
      </c>
      <c r="D26" s="23">
        <f>'Resid Cust Fcst '!$AK27*'Resid TSM UC Adj'!L26</f>
        <v>0</v>
      </c>
      <c r="E26" s="45">
        <f>IF(SUM(B26:D26)=0,0,SUM(B26:D26)/'Resid Cust Fcst '!AK27)</f>
        <v>0</v>
      </c>
      <c r="F26" s="137">
        <f>'Resid Cust Fcst '!$AL27*'Resid TSM UC Adj'!J26</f>
        <v>0</v>
      </c>
      <c r="G26" s="23">
        <f>'Resid Cust Fcst '!$AL27*'Resid TSM UC Adj'!K26</f>
        <v>0</v>
      </c>
      <c r="H26" s="23">
        <f>'Resid Cust Fcst '!$AL27*'Resid TSM UC Adj'!L26</f>
        <v>0</v>
      </c>
      <c r="I26" s="45">
        <f>IF(SUM(F26:H26)=0,0,SUM(F26:H26)/'Resid Cust Fcst '!AL27)</f>
        <v>0</v>
      </c>
      <c r="J26" s="137">
        <f>'Resid Cust Fcst '!$AM27*'Resid TSM UC Adj'!J26</f>
        <v>0</v>
      </c>
      <c r="K26" s="23">
        <f>'Resid Cust Fcst '!$AM27*'Resid TSM UC Adj'!K26</f>
        <v>0</v>
      </c>
      <c r="L26" s="23">
        <f>'Resid Cust Fcst '!$AM27*'Resid TSM UC Adj'!L26</f>
        <v>0</v>
      </c>
      <c r="M26" s="45">
        <f>IF(SUM(J26:L26)=0,0,SUM(J26:L26)/'Resid Cust Fcst '!AM27)</f>
        <v>0</v>
      </c>
      <c r="N26" s="137">
        <f>'Resid Cust Fcst '!$AN27*'Resid TSM UC Adj'!N26</f>
        <v>0</v>
      </c>
      <c r="O26" s="23">
        <f>'Resid Cust Fcst '!$AN27*'Resid TSM UC Adj'!O26</f>
        <v>0</v>
      </c>
      <c r="P26" s="23">
        <f>'Resid Cust Fcst '!$AN27*'Resid TSM UC Adj'!P26</f>
        <v>0</v>
      </c>
      <c r="Q26" s="45">
        <f>IF(SUM(N26:P26)=0,0,SUM(N26:P26)/'Resid Cust Fcst '!AN27)</f>
        <v>0</v>
      </c>
      <c r="R26" s="137">
        <f t="shared" si="2"/>
        <v>0</v>
      </c>
      <c r="S26" s="23">
        <f t="shared" si="4"/>
        <v>0</v>
      </c>
      <c r="T26" s="23">
        <f t="shared" si="5"/>
        <v>0</v>
      </c>
      <c r="U26" s="45">
        <f>IF(SUM(R26:T26)=0,0,SUM(R26:T26)/'Resid Cust Fcst '!AO27)</f>
        <v>0</v>
      </c>
      <c r="V26" s="137">
        <f>'Resid Cust Fcst '!$AP27*'Resid TSM UC Adj'!R26</f>
        <v>0</v>
      </c>
      <c r="W26" s="23">
        <f>'Resid Cust Fcst '!$AP27*'Resid TSM UC Adj'!S26</f>
        <v>0</v>
      </c>
      <c r="X26" s="23">
        <f>'Resid Cust Fcst '!$AP27*'Resid TSM UC Adj'!T26</f>
        <v>0</v>
      </c>
      <c r="Y26" s="45">
        <f>IF(SUM(V26:X26)=0,0,SUM(V26:X26)/'Resid Cust Fcst '!AP27)</f>
        <v>0</v>
      </c>
      <c r="Z26" s="137">
        <f t="shared" si="3"/>
        <v>0</v>
      </c>
      <c r="AA26" s="23">
        <f t="shared" si="6"/>
        <v>0</v>
      </c>
      <c r="AB26" s="23">
        <f t="shared" si="7"/>
        <v>0</v>
      </c>
      <c r="AC26" s="45">
        <f>IF(SUM(Z26:AB26)=0,0,SUM(Z26:AB26)/'Resid Cust Fcst '!AQ27)</f>
        <v>0</v>
      </c>
    </row>
    <row r="27" spans="1:29">
      <c r="A27" s="153" t="s">
        <v>19</v>
      </c>
      <c r="B27" s="137">
        <f>'Resid Cust Fcst '!$AK28*'Resid TSM UC Adj'!J27</f>
        <v>0</v>
      </c>
      <c r="C27" s="23">
        <f>'Resid Cust Fcst '!$AK28*'Resid TSM UC Adj'!K27</f>
        <v>0</v>
      </c>
      <c r="D27" s="23">
        <f>'Resid Cust Fcst '!$AK28*'Resid TSM UC Adj'!L27</f>
        <v>0</v>
      </c>
      <c r="E27" s="45">
        <f>IF(SUM(B27:D27)=0,0,SUM(B27:D27)/'Resid Cust Fcst '!AK28)</f>
        <v>0</v>
      </c>
      <c r="F27" s="137">
        <f>'Resid Cust Fcst '!$AL28*'Resid TSM UC Adj'!J27</f>
        <v>0</v>
      </c>
      <c r="G27" s="23">
        <f>'Resid Cust Fcst '!$AL28*'Resid TSM UC Adj'!K27</f>
        <v>0</v>
      </c>
      <c r="H27" s="23">
        <f>'Resid Cust Fcst '!$AL28*'Resid TSM UC Adj'!L27</f>
        <v>0</v>
      </c>
      <c r="I27" s="45">
        <f>IF(SUM(F27:H27)=0,0,SUM(F27:H27)/'Resid Cust Fcst '!AL28)</f>
        <v>0</v>
      </c>
      <c r="J27" s="137">
        <f>'Resid Cust Fcst '!$AM28*'Resid TSM UC Adj'!J27</f>
        <v>0</v>
      </c>
      <c r="K27" s="23">
        <f>'Resid Cust Fcst '!$AM28*'Resid TSM UC Adj'!K27</f>
        <v>0</v>
      </c>
      <c r="L27" s="23">
        <f>'Resid Cust Fcst '!$AM28*'Resid TSM UC Adj'!L27</f>
        <v>0</v>
      </c>
      <c r="M27" s="45">
        <f>IF(SUM(J27:L27)=0,0,SUM(J27:L27)/'Resid Cust Fcst '!AM28)</f>
        <v>0</v>
      </c>
      <c r="N27" s="137">
        <f>'Resid Cust Fcst '!$AN28*'Resid TSM UC Adj'!N27</f>
        <v>0</v>
      </c>
      <c r="O27" s="23">
        <f>'Resid Cust Fcst '!$AN28*'Resid TSM UC Adj'!O27</f>
        <v>0</v>
      </c>
      <c r="P27" s="23">
        <f>'Resid Cust Fcst '!$AN28*'Resid TSM UC Adj'!P27</f>
        <v>0</v>
      </c>
      <c r="Q27" s="45">
        <f>IF(SUM(N27:P27)=0,0,SUM(N27:P27)/'Resid Cust Fcst '!AN28)</f>
        <v>0</v>
      </c>
      <c r="R27" s="137">
        <f t="shared" si="2"/>
        <v>0</v>
      </c>
      <c r="S27" s="23">
        <f t="shared" si="4"/>
        <v>0</v>
      </c>
      <c r="T27" s="23">
        <f t="shared" si="5"/>
        <v>0</v>
      </c>
      <c r="U27" s="45">
        <f>IF(SUM(R27:T27)=0,0,SUM(R27:T27)/'Resid Cust Fcst '!AO28)</f>
        <v>0</v>
      </c>
      <c r="V27" s="137">
        <f>'Resid Cust Fcst '!$AP28*'Resid TSM UC Adj'!R27</f>
        <v>0</v>
      </c>
      <c r="W27" s="23">
        <f>'Resid Cust Fcst '!$AP28*'Resid TSM UC Adj'!S27</f>
        <v>0</v>
      </c>
      <c r="X27" s="23">
        <f>'Resid Cust Fcst '!$AP28*'Resid TSM UC Adj'!T27</f>
        <v>0</v>
      </c>
      <c r="Y27" s="45">
        <f>IF(SUM(V27:X27)=0,0,SUM(V27:X27)/'Resid Cust Fcst '!AP28)</f>
        <v>0</v>
      </c>
      <c r="Z27" s="137">
        <f t="shared" si="3"/>
        <v>0</v>
      </c>
      <c r="AA27" s="23">
        <f t="shared" si="6"/>
        <v>0</v>
      </c>
      <c r="AB27" s="23">
        <f t="shared" si="7"/>
        <v>0</v>
      </c>
      <c r="AC27" s="45">
        <f>IF(SUM(Z27:AB27)=0,0,SUM(Z27:AB27)/'Resid Cust Fcst '!AQ28)</f>
        <v>0</v>
      </c>
    </row>
    <row r="28" spans="1:29">
      <c r="A28" s="153" t="s">
        <v>20</v>
      </c>
      <c r="B28" s="137">
        <f>'Resid Cust Fcst '!$AK29*'Resid TSM UC Adj'!J28</f>
        <v>0</v>
      </c>
      <c r="C28" s="23">
        <f>'Resid Cust Fcst '!$AK29*'Resid TSM UC Adj'!K28</f>
        <v>0</v>
      </c>
      <c r="D28" s="23">
        <f>'Resid Cust Fcst '!$AK29*'Resid TSM UC Adj'!L28</f>
        <v>0</v>
      </c>
      <c r="E28" s="45">
        <f>IF(SUM(B28:D28)=0,0,SUM(B28:D28)/'Resid Cust Fcst '!AK29)</f>
        <v>0</v>
      </c>
      <c r="F28" s="137">
        <f>'Resid Cust Fcst '!$AL29*'Resid TSM UC Adj'!J28</f>
        <v>0</v>
      </c>
      <c r="G28" s="23">
        <f>'Resid Cust Fcst '!$AL29*'Resid TSM UC Adj'!K28</f>
        <v>0</v>
      </c>
      <c r="H28" s="23">
        <f>'Resid Cust Fcst '!$AL29*'Resid TSM UC Adj'!L28</f>
        <v>0</v>
      </c>
      <c r="I28" s="45">
        <f>IF(SUM(F28:H28)=0,0,SUM(F28:H28)/'Resid Cust Fcst '!AL29)</f>
        <v>0</v>
      </c>
      <c r="J28" s="137">
        <f>'Resid Cust Fcst '!$AM29*'Resid TSM UC Adj'!J28</f>
        <v>0</v>
      </c>
      <c r="K28" s="23">
        <f>'Resid Cust Fcst '!$AM29*'Resid TSM UC Adj'!K28</f>
        <v>0</v>
      </c>
      <c r="L28" s="23">
        <f>'Resid Cust Fcst '!$AM29*'Resid TSM UC Adj'!L28</f>
        <v>0</v>
      </c>
      <c r="M28" s="45">
        <f>IF(SUM(J28:L28)=0,0,SUM(J28:L28)/'Resid Cust Fcst '!AM29)</f>
        <v>0</v>
      </c>
      <c r="N28" s="137">
        <f>'Resid Cust Fcst '!$AN29*'Resid TSM UC Adj'!N28</f>
        <v>0</v>
      </c>
      <c r="O28" s="23">
        <f>'Resid Cust Fcst '!$AN29*'Resid TSM UC Adj'!O28</f>
        <v>0</v>
      </c>
      <c r="P28" s="23">
        <f>'Resid Cust Fcst '!$AN29*'Resid TSM UC Adj'!P28</f>
        <v>0</v>
      </c>
      <c r="Q28" s="45">
        <f>IF(SUM(N28:P28)=0,0,SUM(N28:P28)/'Resid Cust Fcst '!AN29)</f>
        <v>0</v>
      </c>
      <c r="R28" s="137">
        <f t="shared" si="2"/>
        <v>0</v>
      </c>
      <c r="S28" s="23">
        <f t="shared" si="4"/>
        <v>0</v>
      </c>
      <c r="T28" s="23">
        <f t="shared" si="5"/>
        <v>0</v>
      </c>
      <c r="U28" s="45">
        <f>IF(SUM(R28:T28)=0,0,SUM(R28:T28)/'Resid Cust Fcst '!AO29)</f>
        <v>0</v>
      </c>
      <c r="V28" s="137">
        <f>'Resid Cust Fcst '!$AP29*'Resid TSM UC Adj'!R28</f>
        <v>0</v>
      </c>
      <c r="W28" s="23">
        <f>'Resid Cust Fcst '!$AP29*'Resid TSM UC Adj'!S28</f>
        <v>0</v>
      </c>
      <c r="X28" s="23">
        <f>'Resid Cust Fcst '!$AP29*'Resid TSM UC Adj'!T28</f>
        <v>0</v>
      </c>
      <c r="Y28" s="45">
        <f>IF(SUM(V28:X28)=0,0,SUM(V28:X28)/'Resid Cust Fcst '!AP29)</f>
        <v>0</v>
      </c>
      <c r="Z28" s="137">
        <f t="shared" si="3"/>
        <v>0</v>
      </c>
      <c r="AA28" s="23">
        <f t="shared" si="6"/>
        <v>0</v>
      </c>
      <c r="AB28" s="23">
        <f t="shared" si="7"/>
        <v>0</v>
      </c>
      <c r="AC28" s="45">
        <f>IF(SUM(Z28:AB28)=0,0,SUM(Z28:AB28)/'Resid Cust Fcst '!AQ29)</f>
        <v>0</v>
      </c>
    </row>
    <row r="29" spans="1:29">
      <c r="A29" s="153" t="s">
        <v>21</v>
      </c>
      <c r="B29" s="137">
        <f>'Resid Cust Fcst '!$AK30*'Resid TSM UC Adj'!J29</f>
        <v>0</v>
      </c>
      <c r="C29" s="23">
        <f>'Resid Cust Fcst '!$AK30*'Resid TSM UC Adj'!K29</f>
        <v>0</v>
      </c>
      <c r="D29" s="23">
        <f>'Resid Cust Fcst '!$AK30*'Resid TSM UC Adj'!L29</f>
        <v>0</v>
      </c>
      <c r="E29" s="45">
        <f>IF(SUM(B29:D29)=0,0,SUM(B29:D29)/'Resid Cust Fcst '!AK30)</f>
        <v>0</v>
      </c>
      <c r="F29" s="137">
        <f>'Resid Cust Fcst '!$AL30*'Resid TSM UC Adj'!J29</f>
        <v>0</v>
      </c>
      <c r="G29" s="23">
        <f>'Resid Cust Fcst '!$AL30*'Resid TSM UC Adj'!K29</f>
        <v>0</v>
      </c>
      <c r="H29" s="23">
        <f>'Resid Cust Fcst '!$AL30*'Resid TSM UC Adj'!L29</f>
        <v>0</v>
      </c>
      <c r="I29" s="45">
        <f>IF(SUM(F29:H29)=0,0,SUM(F29:H29)/'Resid Cust Fcst '!AL30)</f>
        <v>0</v>
      </c>
      <c r="J29" s="137">
        <f>'Resid Cust Fcst '!$AM30*'Resid TSM UC Adj'!J29</f>
        <v>0</v>
      </c>
      <c r="K29" s="23">
        <f>'Resid Cust Fcst '!$AM30*'Resid TSM UC Adj'!K29</f>
        <v>0</v>
      </c>
      <c r="L29" s="23">
        <f>'Resid Cust Fcst '!$AM30*'Resid TSM UC Adj'!L29</f>
        <v>0</v>
      </c>
      <c r="M29" s="45">
        <f>IF(SUM(J29:L29)=0,0,SUM(J29:L29)/'Resid Cust Fcst '!AM30)</f>
        <v>0</v>
      </c>
      <c r="N29" s="137">
        <f>'Resid Cust Fcst '!$AN30*'Resid TSM UC Adj'!N29</f>
        <v>0</v>
      </c>
      <c r="O29" s="23">
        <f>'Resid Cust Fcst '!$AN30*'Resid TSM UC Adj'!O29</f>
        <v>0</v>
      </c>
      <c r="P29" s="23">
        <f>'Resid Cust Fcst '!$AN30*'Resid TSM UC Adj'!P29</f>
        <v>0</v>
      </c>
      <c r="Q29" s="45">
        <f>IF(SUM(N29:P29)=0,0,SUM(N29:P29)/'Resid Cust Fcst '!AN30)</f>
        <v>0</v>
      </c>
      <c r="R29" s="137">
        <f t="shared" si="2"/>
        <v>0</v>
      </c>
      <c r="S29" s="23">
        <f t="shared" si="4"/>
        <v>0</v>
      </c>
      <c r="T29" s="23">
        <f t="shared" si="5"/>
        <v>0</v>
      </c>
      <c r="U29" s="45">
        <f>IF(SUM(R29:T29)=0,0,SUM(R29:T29)/'Resid Cust Fcst '!AO30)</f>
        <v>0</v>
      </c>
      <c r="V29" s="137">
        <f>'Resid Cust Fcst '!$AP30*'Resid TSM UC Adj'!R29</f>
        <v>0</v>
      </c>
      <c r="W29" s="23">
        <f>'Resid Cust Fcst '!$AP30*'Resid TSM UC Adj'!S29</f>
        <v>0</v>
      </c>
      <c r="X29" s="23">
        <f>'Resid Cust Fcst '!$AP30*'Resid TSM UC Adj'!T29</f>
        <v>0</v>
      </c>
      <c r="Y29" s="45">
        <f>IF(SUM(V29:X29)=0,0,SUM(V29:X29)/'Resid Cust Fcst '!AP30)</f>
        <v>0</v>
      </c>
      <c r="Z29" s="137">
        <f t="shared" si="3"/>
        <v>0</v>
      </c>
      <c r="AA29" s="23">
        <f t="shared" si="6"/>
        <v>0</v>
      </c>
      <c r="AB29" s="23">
        <f t="shared" si="7"/>
        <v>0</v>
      </c>
      <c r="AC29" s="45">
        <f>IF(SUM(Z29:AB29)=0,0,SUM(Z29:AB29)/'Resid Cust Fcst '!AQ30)</f>
        <v>0</v>
      </c>
    </row>
    <row r="30" spans="1:29">
      <c r="A30" s="153" t="s">
        <v>22</v>
      </c>
      <c r="B30" s="137">
        <f>'Resid Cust Fcst '!$AK31*'Resid TSM UC Adj'!J30</f>
        <v>0</v>
      </c>
      <c r="C30" s="23">
        <f>'Resid Cust Fcst '!$AK31*'Resid TSM UC Adj'!K30</f>
        <v>0</v>
      </c>
      <c r="D30" s="23">
        <f>'Resid Cust Fcst '!$AK31*'Resid TSM UC Adj'!L30</f>
        <v>0</v>
      </c>
      <c r="E30" s="45">
        <f>IF(SUM(B30:D30)=0,0,SUM(B30:D30)/'Resid Cust Fcst '!AK31)</f>
        <v>0</v>
      </c>
      <c r="F30" s="137">
        <f>'Resid Cust Fcst '!$AL31*'Resid TSM UC Adj'!J30</f>
        <v>0</v>
      </c>
      <c r="G30" s="23">
        <f>'Resid Cust Fcst '!$AL31*'Resid TSM UC Adj'!K30</f>
        <v>0</v>
      </c>
      <c r="H30" s="23">
        <f>'Resid Cust Fcst '!$AL31*'Resid TSM UC Adj'!L30</f>
        <v>0</v>
      </c>
      <c r="I30" s="45">
        <f>IF(SUM(F30:H30)=0,0,SUM(F30:H30)/'Resid Cust Fcst '!AL31)</f>
        <v>0</v>
      </c>
      <c r="J30" s="137">
        <f>'Resid Cust Fcst '!$AM31*'Resid TSM UC Adj'!J30</f>
        <v>0</v>
      </c>
      <c r="K30" s="23">
        <f>'Resid Cust Fcst '!$AM31*'Resid TSM UC Adj'!K30</f>
        <v>0</v>
      </c>
      <c r="L30" s="23">
        <f>'Resid Cust Fcst '!$AM31*'Resid TSM UC Adj'!L30</f>
        <v>0</v>
      </c>
      <c r="M30" s="45">
        <f>IF(SUM(J30:L30)=0,0,SUM(J30:L30)/'Resid Cust Fcst '!AM31)</f>
        <v>0</v>
      </c>
      <c r="N30" s="137">
        <f>'Resid Cust Fcst '!$AN31*'Resid TSM UC Adj'!N30</f>
        <v>0</v>
      </c>
      <c r="O30" s="23">
        <f>'Resid Cust Fcst '!$AN31*'Resid TSM UC Adj'!O30</f>
        <v>0</v>
      </c>
      <c r="P30" s="23">
        <f>'Resid Cust Fcst '!$AN31*'Resid TSM UC Adj'!P30</f>
        <v>0</v>
      </c>
      <c r="Q30" s="45">
        <f>IF(SUM(N30:P30)=0,0,SUM(N30:P30)/'Resid Cust Fcst '!AN31)</f>
        <v>0</v>
      </c>
      <c r="R30" s="137">
        <f t="shared" si="2"/>
        <v>0</v>
      </c>
      <c r="S30" s="23">
        <f t="shared" si="4"/>
        <v>0</v>
      </c>
      <c r="T30" s="23">
        <f t="shared" si="5"/>
        <v>0</v>
      </c>
      <c r="U30" s="45">
        <f>IF(SUM(R30:T30)=0,0,SUM(R30:T30)/'Resid Cust Fcst '!AO31)</f>
        <v>0</v>
      </c>
      <c r="V30" s="137">
        <f>'Resid Cust Fcst '!$AP31*'Resid TSM UC Adj'!R30</f>
        <v>0</v>
      </c>
      <c r="W30" s="23">
        <f>'Resid Cust Fcst '!$AP31*'Resid TSM UC Adj'!S30</f>
        <v>0</v>
      </c>
      <c r="X30" s="23">
        <f>'Resid Cust Fcst '!$AP31*'Resid TSM UC Adj'!T30</f>
        <v>0</v>
      </c>
      <c r="Y30" s="45">
        <f>IF(SUM(V30:X30)=0,0,SUM(V30:X30)/'Resid Cust Fcst '!AP31)</f>
        <v>0</v>
      </c>
      <c r="Z30" s="137">
        <f t="shared" si="3"/>
        <v>0</v>
      </c>
      <c r="AA30" s="23">
        <f t="shared" si="6"/>
        <v>0</v>
      </c>
      <c r="AB30" s="23">
        <f t="shared" si="7"/>
        <v>0</v>
      </c>
      <c r="AC30" s="45">
        <f>IF(SUM(Z30:AB30)=0,0,SUM(Z30:AB30)/'Resid Cust Fcst '!AQ31)</f>
        <v>0</v>
      </c>
    </row>
    <row r="31" spans="1:29">
      <c r="A31" s="153" t="s">
        <v>23</v>
      </c>
      <c r="B31" s="137">
        <f>'Resid Cust Fcst '!$AK32*'Resid TSM UC Adj'!J31</f>
        <v>0</v>
      </c>
      <c r="C31" s="23">
        <f>'Resid Cust Fcst '!$AK32*'Resid TSM UC Adj'!K31</f>
        <v>0</v>
      </c>
      <c r="D31" s="23">
        <f>'Resid Cust Fcst '!$AK32*'Resid TSM UC Adj'!L31</f>
        <v>0</v>
      </c>
      <c r="E31" s="45">
        <f>IF(SUM(B31:D31)=0,0,SUM(B31:D31)/'Resid Cust Fcst '!AK32)</f>
        <v>0</v>
      </c>
      <c r="F31" s="137">
        <f>'Resid Cust Fcst '!$AL32*'Resid TSM UC Adj'!J31</f>
        <v>0</v>
      </c>
      <c r="G31" s="23">
        <f>'Resid Cust Fcst '!$AL32*'Resid TSM UC Adj'!K31</f>
        <v>0</v>
      </c>
      <c r="H31" s="23">
        <f>'Resid Cust Fcst '!$AL32*'Resid TSM UC Adj'!L31</f>
        <v>0</v>
      </c>
      <c r="I31" s="45">
        <f>IF(SUM(F31:H31)=0,0,SUM(F31:H31)/'Resid Cust Fcst '!AL32)</f>
        <v>0</v>
      </c>
      <c r="J31" s="137">
        <f>'Resid Cust Fcst '!$AM32*'Resid TSM UC Adj'!J31</f>
        <v>0</v>
      </c>
      <c r="K31" s="23">
        <f>'Resid Cust Fcst '!$AM32*'Resid TSM UC Adj'!K31</f>
        <v>0</v>
      </c>
      <c r="L31" s="23">
        <f>'Resid Cust Fcst '!$AM32*'Resid TSM UC Adj'!L31</f>
        <v>0</v>
      </c>
      <c r="M31" s="45">
        <f>IF(SUM(J31:L31)=0,0,SUM(J31:L31)/'Resid Cust Fcst '!AM32)</f>
        <v>0</v>
      </c>
      <c r="N31" s="137">
        <f>'Resid Cust Fcst '!$AN32*'Resid TSM UC Adj'!N31</f>
        <v>0</v>
      </c>
      <c r="O31" s="23">
        <f>'Resid Cust Fcst '!$AN32*'Resid TSM UC Adj'!O31</f>
        <v>0</v>
      </c>
      <c r="P31" s="23">
        <f>'Resid Cust Fcst '!$AN32*'Resid TSM UC Adj'!P31</f>
        <v>0</v>
      </c>
      <c r="Q31" s="45">
        <f>IF(SUM(N31:P31)=0,0,SUM(N31:P31)/'Resid Cust Fcst '!AN32)</f>
        <v>0</v>
      </c>
      <c r="R31" s="137">
        <f t="shared" si="2"/>
        <v>0</v>
      </c>
      <c r="S31" s="23">
        <f t="shared" si="4"/>
        <v>0</v>
      </c>
      <c r="T31" s="23">
        <f t="shared" si="5"/>
        <v>0</v>
      </c>
      <c r="U31" s="45">
        <f>IF(SUM(R31:T31)=0,0,SUM(R31:T31)/'Resid Cust Fcst '!AO32)</f>
        <v>0</v>
      </c>
      <c r="V31" s="137">
        <f>'Resid Cust Fcst '!$AP32*'Resid TSM UC Adj'!R31</f>
        <v>0</v>
      </c>
      <c r="W31" s="23">
        <f>'Resid Cust Fcst '!$AP32*'Resid TSM UC Adj'!S31</f>
        <v>0</v>
      </c>
      <c r="X31" s="23">
        <f>'Resid Cust Fcst '!$AP32*'Resid TSM UC Adj'!T31</f>
        <v>0</v>
      </c>
      <c r="Y31" s="45">
        <f>IF(SUM(V31:X31)=0,0,SUM(V31:X31)/'Resid Cust Fcst '!AP32)</f>
        <v>0</v>
      </c>
      <c r="Z31" s="137">
        <f t="shared" si="3"/>
        <v>0</v>
      </c>
      <c r="AA31" s="23">
        <f t="shared" si="6"/>
        <v>0</v>
      </c>
      <c r="AB31" s="23">
        <f t="shared" si="7"/>
        <v>0</v>
      </c>
      <c r="AC31" s="45">
        <f>IF(SUM(Z31:AB31)=0,0,SUM(Z31:AB31)/'Resid Cust Fcst '!AQ32)</f>
        <v>0</v>
      </c>
    </row>
    <row r="32" spans="1:29">
      <c r="A32" s="153" t="s">
        <v>24</v>
      </c>
      <c r="B32" s="137">
        <f>'Resid Cust Fcst '!$AK33*'Resid TSM UC Adj'!J32</f>
        <v>0</v>
      </c>
      <c r="C32" s="23">
        <f>'Resid Cust Fcst '!$AK33*'Resid TSM UC Adj'!K32</f>
        <v>0</v>
      </c>
      <c r="D32" s="23">
        <f>'Resid Cust Fcst '!$AK33*'Resid TSM UC Adj'!L32</f>
        <v>0</v>
      </c>
      <c r="E32" s="45">
        <f>IF(SUM(B32:D32)=0,0,SUM(B32:D32)/'Resid Cust Fcst '!AK33)</f>
        <v>0</v>
      </c>
      <c r="F32" s="137">
        <f>'Resid Cust Fcst '!$AL33*'Resid TSM UC Adj'!J32</f>
        <v>0</v>
      </c>
      <c r="G32" s="23">
        <f>'Resid Cust Fcst '!$AL33*'Resid TSM UC Adj'!K32</f>
        <v>0</v>
      </c>
      <c r="H32" s="23">
        <f>'Resid Cust Fcst '!$AL33*'Resid TSM UC Adj'!L32</f>
        <v>0</v>
      </c>
      <c r="I32" s="45">
        <f>IF(SUM(F32:H32)=0,0,SUM(F32:H32)/'Resid Cust Fcst '!AL33)</f>
        <v>0</v>
      </c>
      <c r="J32" s="137">
        <f>'Resid Cust Fcst '!$AM33*'Resid TSM UC Adj'!J32</f>
        <v>0</v>
      </c>
      <c r="K32" s="23">
        <f>'Resid Cust Fcst '!$AM33*'Resid TSM UC Adj'!K32</f>
        <v>0</v>
      </c>
      <c r="L32" s="23">
        <f>'Resid Cust Fcst '!$AM33*'Resid TSM UC Adj'!L32</f>
        <v>0</v>
      </c>
      <c r="M32" s="45">
        <f>IF(SUM(J32:L32)=0,0,SUM(J32:L32)/'Resid Cust Fcst '!AM33)</f>
        <v>0</v>
      </c>
      <c r="N32" s="137">
        <f>'Resid Cust Fcst '!$AN33*'Resid TSM UC Adj'!N32</f>
        <v>0</v>
      </c>
      <c r="O32" s="23">
        <f>'Resid Cust Fcst '!$AN33*'Resid TSM UC Adj'!O32</f>
        <v>0</v>
      </c>
      <c r="P32" s="23">
        <f>'Resid Cust Fcst '!$AN33*'Resid TSM UC Adj'!P32</f>
        <v>0</v>
      </c>
      <c r="Q32" s="45">
        <f>IF(SUM(N32:P32)=0,0,SUM(N32:P32)/'Resid Cust Fcst '!AN33)</f>
        <v>0</v>
      </c>
      <c r="R32" s="137">
        <f t="shared" si="2"/>
        <v>0</v>
      </c>
      <c r="S32" s="23">
        <f t="shared" si="4"/>
        <v>0</v>
      </c>
      <c r="T32" s="23">
        <f t="shared" si="5"/>
        <v>0</v>
      </c>
      <c r="U32" s="45">
        <f>IF(SUM(R32:T32)=0,0,SUM(R32:T32)/'Resid Cust Fcst '!AO33)</f>
        <v>0</v>
      </c>
      <c r="V32" s="137">
        <f>'Resid Cust Fcst '!$AP33*'Resid TSM UC Adj'!R32</f>
        <v>0</v>
      </c>
      <c r="W32" s="23">
        <f>'Resid Cust Fcst '!$AP33*'Resid TSM UC Adj'!S32</f>
        <v>0</v>
      </c>
      <c r="X32" s="23">
        <f>'Resid Cust Fcst '!$AP33*'Resid TSM UC Adj'!T32</f>
        <v>0</v>
      </c>
      <c r="Y32" s="45">
        <f>IF(SUM(V32:X32)=0,0,SUM(V32:X32)/'Resid Cust Fcst '!AP33)</f>
        <v>0</v>
      </c>
      <c r="Z32" s="137">
        <f t="shared" si="3"/>
        <v>0</v>
      </c>
      <c r="AA32" s="23">
        <f t="shared" si="6"/>
        <v>0</v>
      </c>
      <c r="AB32" s="23">
        <f t="shared" si="7"/>
        <v>0</v>
      </c>
      <c r="AC32" s="45">
        <f>IF(SUM(Z32:AB32)=0,0,SUM(Z32:AB32)/'Resid Cust Fcst '!AQ33)</f>
        <v>0</v>
      </c>
    </row>
    <row r="33" spans="1:29">
      <c r="A33" s="153" t="s">
        <v>25</v>
      </c>
      <c r="B33" s="137">
        <f>'Resid Cust Fcst '!$AK34*'Resid TSM UC Adj'!J33</f>
        <v>0</v>
      </c>
      <c r="C33" s="23">
        <f>'Resid Cust Fcst '!$AK34*'Resid TSM UC Adj'!K33</f>
        <v>0</v>
      </c>
      <c r="D33" s="23">
        <f>'Resid Cust Fcst '!$AK34*'Resid TSM UC Adj'!L33</f>
        <v>0</v>
      </c>
      <c r="E33" s="45">
        <f>IF(SUM(B33:D33)=0,0,SUM(B33:D33)/'Resid Cust Fcst '!AK34)</f>
        <v>0</v>
      </c>
      <c r="F33" s="137">
        <f>'Resid Cust Fcst '!$AL34*'Resid TSM UC Adj'!J33</f>
        <v>0</v>
      </c>
      <c r="G33" s="23">
        <f>'Resid Cust Fcst '!$AL34*'Resid TSM UC Adj'!K33</f>
        <v>0</v>
      </c>
      <c r="H33" s="23">
        <f>'Resid Cust Fcst '!$AL34*'Resid TSM UC Adj'!L33</f>
        <v>0</v>
      </c>
      <c r="I33" s="45">
        <f>IF(SUM(F33:H33)=0,0,SUM(F33:H33)/'Resid Cust Fcst '!AL34)</f>
        <v>0</v>
      </c>
      <c r="J33" s="137">
        <f>'Resid Cust Fcst '!$AM34*'Resid TSM UC Adj'!J33</f>
        <v>0</v>
      </c>
      <c r="K33" s="23">
        <f>'Resid Cust Fcst '!$AM34*'Resid TSM UC Adj'!K33</f>
        <v>0</v>
      </c>
      <c r="L33" s="23">
        <f>'Resid Cust Fcst '!$AM34*'Resid TSM UC Adj'!L33</f>
        <v>0</v>
      </c>
      <c r="M33" s="45">
        <f>IF(SUM(J33:L33)=0,0,SUM(J33:L33)/'Resid Cust Fcst '!AM34)</f>
        <v>0</v>
      </c>
      <c r="N33" s="137">
        <f>'Resid Cust Fcst '!$AN34*'Resid TSM UC Adj'!N33</f>
        <v>0</v>
      </c>
      <c r="O33" s="23">
        <f>'Resid Cust Fcst '!$AN34*'Resid TSM UC Adj'!O33</f>
        <v>0</v>
      </c>
      <c r="P33" s="23">
        <f>'Resid Cust Fcst '!$AN34*'Resid TSM UC Adj'!P33</f>
        <v>0</v>
      </c>
      <c r="Q33" s="45">
        <f>IF(SUM(N33:P33)=0,0,SUM(N33:P33)/'Resid Cust Fcst '!AN34)</f>
        <v>0</v>
      </c>
      <c r="R33" s="137">
        <f t="shared" si="2"/>
        <v>0</v>
      </c>
      <c r="S33" s="23">
        <f t="shared" si="4"/>
        <v>0</v>
      </c>
      <c r="T33" s="23">
        <f t="shared" si="5"/>
        <v>0</v>
      </c>
      <c r="U33" s="45">
        <f>IF(SUM(R33:T33)=0,0,SUM(R33:T33)/'Resid Cust Fcst '!AO34)</f>
        <v>0</v>
      </c>
      <c r="V33" s="137">
        <f>'Resid Cust Fcst '!$AP34*'Resid TSM UC Adj'!R33</f>
        <v>0</v>
      </c>
      <c r="W33" s="23">
        <f>'Resid Cust Fcst '!$AP34*'Resid TSM UC Adj'!S33</f>
        <v>0</v>
      </c>
      <c r="X33" s="23">
        <f>'Resid Cust Fcst '!$AP34*'Resid TSM UC Adj'!T33</f>
        <v>0</v>
      </c>
      <c r="Y33" s="45">
        <f>IF(SUM(V33:X33)=0,0,SUM(V33:X33)/'Resid Cust Fcst '!AP34)</f>
        <v>0</v>
      </c>
      <c r="Z33" s="137">
        <f t="shared" si="3"/>
        <v>0</v>
      </c>
      <c r="AA33" s="23">
        <f t="shared" si="6"/>
        <v>0</v>
      </c>
      <c r="AB33" s="23">
        <f t="shared" si="7"/>
        <v>0</v>
      </c>
      <c r="AC33" s="45">
        <f>IF(SUM(Z33:AB33)=0,0,SUM(Z33:AB33)/'Resid Cust Fcst '!AQ34)</f>
        <v>0</v>
      </c>
    </row>
    <row r="34" spans="1:29">
      <c r="A34" s="153" t="s">
        <v>125</v>
      </c>
      <c r="B34" s="137">
        <f>'Resid Cust Fcst '!$AK35*'Resid TSM UC Adj'!J34</f>
        <v>0</v>
      </c>
      <c r="C34" s="23">
        <f>'Resid Cust Fcst '!$AK35*'Resid TSM UC Adj'!K34</f>
        <v>0</v>
      </c>
      <c r="D34" s="23">
        <f>'Resid Cust Fcst '!$AK35*'Resid TSM UC Adj'!L34</f>
        <v>0</v>
      </c>
      <c r="E34" s="45">
        <f>IF(SUM(B34:D34)=0,0,SUM(B34:D34)/'Resid Cust Fcst '!AK35)</f>
        <v>0</v>
      </c>
      <c r="F34" s="137">
        <f>'Resid Cust Fcst '!$AL35*'Resid TSM UC Adj'!J34</f>
        <v>0</v>
      </c>
      <c r="G34" s="23">
        <f>'Resid Cust Fcst '!$AL35*'Resid TSM UC Adj'!K34</f>
        <v>0</v>
      </c>
      <c r="H34" s="23">
        <f>'Resid Cust Fcst '!$AL35*'Resid TSM UC Adj'!L34</f>
        <v>0</v>
      </c>
      <c r="I34" s="45">
        <f>IF(SUM(F34:H34)=0,0,SUM(F34:H34)/'Resid Cust Fcst '!AL35)</f>
        <v>0</v>
      </c>
      <c r="J34" s="137">
        <f>'Resid Cust Fcst '!$AM35*'Resid TSM UC Adj'!J34</f>
        <v>0</v>
      </c>
      <c r="K34" s="23">
        <f>'Resid Cust Fcst '!$AM35*'Resid TSM UC Adj'!K34</f>
        <v>0</v>
      </c>
      <c r="L34" s="23">
        <f>'Resid Cust Fcst '!$AM35*'Resid TSM UC Adj'!L34</f>
        <v>0</v>
      </c>
      <c r="M34" s="45">
        <f>IF(SUM(J34:L34)=0,0,SUM(J34:L34)/'Resid Cust Fcst '!AM35)</f>
        <v>0</v>
      </c>
      <c r="N34" s="137">
        <f>'Resid Cust Fcst '!$AN35*'Resid TSM UC Adj'!N34</f>
        <v>0</v>
      </c>
      <c r="O34" s="23">
        <f>'Resid Cust Fcst '!$AN35*'Resid TSM UC Adj'!O34</f>
        <v>0</v>
      </c>
      <c r="P34" s="23">
        <f>'Resid Cust Fcst '!$AN35*'Resid TSM UC Adj'!P34</f>
        <v>0</v>
      </c>
      <c r="Q34" s="45">
        <f>IF(SUM(N34:P34)=0,0,SUM(N34:P34)/'Resid Cust Fcst '!AN35)</f>
        <v>0</v>
      </c>
      <c r="R34" s="137">
        <f t="shared" si="2"/>
        <v>0</v>
      </c>
      <c r="S34" s="23">
        <f t="shared" si="4"/>
        <v>0</v>
      </c>
      <c r="T34" s="23">
        <f t="shared" si="5"/>
        <v>0</v>
      </c>
      <c r="U34" s="45">
        <f>IF(SUM(R34:T34)=0,0,SUM(R34:T34)/'Resid Cust Fcst '!AO35)</f>
        <v>0</v>
      </c>
      <c r="V34" s="137">
        <f>'Resid Cust Fcst '!$AP35*'Resid TSM UC Adj'!R34</f>
        <v>0</v>
      </c>
      <c r="W34" s="23">
        <f>'Resid Cust Fcst '!$AP35*'Resid TSM UC Adj'!S34</f>
        <v>0</v>
      </c>
      <c r="X34" s="23">
        <f>'Resid Cust Fcst '!$AP35*'Resid TSM UC Adj'!T34</f>
        <v>0</v>
      </c>
      <c r="Y34" s="45">
        <f>IF(SUM(V34:X34)=0,0,SUM(V34:X34)/'Resid Cust Fcst '!AP35)</f>
        <v>0</v>
      </c>
      <c r="Z34" s="137">
        <f t="shared" si="3"/>
        <v>0</v>
      </c>
      <c r="AA34" s="23">
        <f t="shared" si="6"/>
        <v>0</v>
      </c>
      <c r="AB34" s="23">
        <f t="shared" si="7"/>
        <v>0</v>
      </c>
      <c r="AC34" s="45">
        <f>IF(SUM(Z34:AB34)=0,0,SUM(Z34:AB34)/'Resid Cust Fcst '!AQ35)</f>
        <v>0</v>
      </c>
    </row>
    <row r="35" spans="1:29">
      <c r="A35" s="153" t="s">
        <v>126</v>
      </c>
      <c r="B35" s="137">
        <f>'Resid Cust Fcst '!$AK36*'Resid TSM UC Adj'!J35</f>
        <v>0</v>
      </c>
      <c r="C35" s="23">
        <f>'Resid Cust Fcst '!$AK36*'Resid TSM UC Adj'!K35</f>
        <v>0</v>
      </c>
      <c r="D35" s="23">
        <f>'Resid Cust Fcst '!$AK36*'Resid TSM UC Adj'!L35</f>
        <v>0</v>
      </c>
      <c r="E35" s="45">
        <f>IF(SUM(B35:D35)=0,0,SUM(B35:D35)/'Resid Cust Fcst '!AK36)</f>
        <v>0</v>
      </c>
      <c r="F35" s="137">
        <f>'Resid Cust Fcst '!$AL36*'Resid TSM UC Adj'!J35</f>
        <v>0</v>
      </c>
      <c r="G35" s="23">
        <f>'Resid Cust Fcst '!$AL36*'Resid TSM UC Adj'!K35</f>
        <v>0</v>
      </c>
      <c r="H35" s="23">
        <f>'Resid Cust Fcst '!$AL36*'Resid TSM UC Adj'!L35</f>
        <v>0</v>
      </c>
      <c r="I35" s="45">
        <f>IF(SUM(F35:H35)=0,0,SUM(F35:H35)/'Resid Cust Fcst '!AL36)</f>
        <v>0</v>
      </c>
      <c r="J35" s="137">
        <f>'Resid Cust Fcst '!$AM36*'Resid TSM UC Adj'!J35</f>
        <v>0</v>
      </c>
      <c r="K35" s="23">
        <f>'Resid Cust Fcst '!$AM36*'Resid TSM UC Adj'!K35</f>
        <v>0</v>
      </c>
      <c r="L35" s="23">
        <f>'Resid Cust Fcst '!$AM36*'Resid TSM UC Adj'!L35</f>
        <v>0</v>
      </c>
      <c r="M35" s="45">
        <f>IF(SUM(J35:L35)=0,0,SUM(J35:L35)/'Resid Cust Fcst '!AM36)</f>
        <v>0</v>
      </c>
      <c r="N35" s="137">
        <f>'Resid Cust Fcst '!$AN36*'Resid TSM UC Adj'!N35</f>
        <v>0</v>
      </c>
      <c r="O35" s="23">
        <f>'Resid Cust Fcst '!$AN36*'Resid TSM UC Adj'!O35</f>
        <v>0</v>
      </c>
      <c r="P35" s="23">
        <f>'Resid Cust Fcst '!$AN36*'Resid TSM UC Adj'!P35</f>
        <v>0</v>
      </c>
      <c r="Q35" s="45">
        <f>IF(SUM(N35:P35)=0,0,SUM(N35:P35)/'Resid Cust Fcst '!AN36)</f>
        <v>0</v>
      </c>
      <c r="R35" s="137">
        <f t="shared" si="2"/>
        <v>0</v>
      </c>
      <c r="S35" s="23">
        <f t="shared" si="4"/>
        <v>0</v>
      </c>
      <c r="T35" s="23">
        <f t="shared" si="5"/>
        <v>0</v>
      </c>
      <c r="U35" s="45">
        <f>IF(SUM(R35:T35)=0,0,SUM(R35:T35)/'Resid Cust Fcst '!AO36)</f>
        <v>0</v>
      </c>
      <c r="V35" s="137">
        <f>'Resid Cust Fcst '!$AP36*'Resid TSM UC Adj'!R35</f>
        <v>0</v>
      </c>
      <c r="W35" s="23">
        <f>'Resid Cust Fcst '!$AP36*'Resid TSM UC Adj'!S35</f>
        <v>0</v>
      </c>
      <c r="X35" s="23">
        <f>'Resid Cust Fcst '!$AP36*'Resid TSM UC Adj'!T35</f>
        <v>0</v>
      </c>
      <c r="Y35" s="45">
        <f>IF(SUM(V35:X35)=0,0,SUM(V35:X35)/'Resid Cust Fcst '!AP36)</f>
        <v>0</v>
      </c>
      <c r="Z35" s="137">
        <f t="shared" si="3"/>
        <v>0</v>
      </c>
      <c r="AA35" s="23">
        <f t="shared" si="6"/>
        <v>0</v>
      </c>
      <c r="AB35" s="23">
        <f t="shared" si="7"/>
        <v>0</v>
      </c>
      <c r="AC35" s="45">
        <f>IF(SUM(Z35:AB35)=0,0,SUM(Z35:AB35)/'Resid Cust Fcst '!AQ36)</f>
        <v>0</v>
      </c>
    </row>
    <row r="36" spans="1:29">
      <c r="A36" s="153" t="s">
        <v>26</v>
      </c>
      <c r="B36" s="137">
        <f>'Resid Cust Fcst '!$AK37*'Resid TSM UC Adj'!J36</f>
        <v>0</v>
      </c>
      <c r="C36" s="23">
        <f>'Resid Cust Fcst '!$AK37*'Resid TSM UC Adj'!K36</f>
        <v>0</v>
      </c>
      <c r="D36" s="23">
        <f>'Resid Cust Fcst '!$AK37*'Resid TSM UC Adj'!L36</f>
        <v>0</v>
      </c>
      <c r="E36" s="45">
        <f>IF(SUM(B36:D36)=0,0,SUM(B36:D36)/'Resid Cust Fcst '!AK37)</f>
        <v>0</v>
      </c>
      <c r="F36" s="137">
        <f>'Resid Cust Fcst '!$AL37*'Resid TSM UC Adj'!J36</f>
        <v>0</v>
      </c>
      <c r="G36" s="23">
        <f>'Resid Cust Fcst '!$AL37*'Resid TSM UC Adj'!K36</f>
        <v>0</v>
      </c>
      <c r="H36" s="23">
        <f>'Resid Cust Fcst '!$AL37*'Resid TSM UC Adj'!L36</f>
        <v>0</v>
      </c>
      <c r="I36" s="45">
        <f>IF(SUM(F36:H36)=0,0,SUM(F36:H36)/'Resid Cust Fcst '!AL37)</f>
        <v>0</v>
      </c>
      <c r="J36" s="137">
        <f>'Resid Cust Fcst '!$AM37*'Resid TSM UC Adj'!J36</f>
        <v>0</v>
      </c>
      <c r="K36" s="23">
        <f>'Resid Cust Fcst '!$AM37*'Resid TSM UC Adj'!K36</f>
        <v>0</v>
      </c>
      <c r="L36" s="23">
        <f>'Resid Cust Fcst '!$AM37*'Resid TSM UC Adj'!L36</f>
        <v>0</v>
      </c>
      <c r="M36" s="45">
        <f>IF(SUM(J36:L36)=0,0,SUM(J36:L36)/'Resid Cust Fcst '!AM37)</f>
        <v>0</v>
      </c>
      <c r="N36" s="137">
        <f>'Resid Cust Fcst '!$AN37*'Resid TSM UC Adj'!N36</f>
        <v>0</v>
      </c>
      <c r="O36" s="23">
        <f>'Resid Cust Fcst '!$AN37*'Resid TSM UC Adj'!O36</f>
        <v>0</v>
      </c>
      <c r="P36" s="23">
        <f>'Resid Cust Fcst '!$AN37*'Resid TSM UC Adj'!P36</f>
        <v>0</v>
      </c>
      <c r="Q36" s="45">
        <f>IF(SUM(N36:P36)=0,0,SUM(N36:P36)/'Resid Cust Fcst '!AN37)</f>
        <v>0</v>
      </c>
      <c r="R36" s="137">
        <f t="shared" si="2"/>
        <v>0</v>
      </c>
      <c r="S36" s="23">
        <f t="shared" si="4"/>
        <v>0</v>
      </c>
      <c r="T36" s="23">
        <f t="shared" si="5"/>
        <v>0</v>
      </c>
      <c r="U36" s="45">
        <f>IF(SUM(R36:T36)=0,0,SUM(R36:T36)/'Resid Cust Fcst '!AO37)</f>
        <v>0</v>
      </c>
      <c r="V36" s="137">
        <f>'Resid Cust Fcst '!$AP37*'Resid TSM UC Adj'!R36</f>
        <v>0</v>
      </c>
      <c r="W36" s="23">
        <f>'Resid Cust Fcst '!$AP37*'Resid TSM UC Adj'!S36</f>
        <v>0</v>
      </c>
      <c r="X36" s="23">
        <f>'Resid Cust Fcst '!$AP37*'Resid TSM UC Adj'!T36</f>
        <v>0</v>
      </c>
      <c r="Y36" s="45">
        <f>IF(SUM(V36:X36)=0,0,SUM(V36:X36)/'Resid Cust Fcst '!AP37)</f>
        <v>0</v>
      </c>
      <c r="Z36" s="137">
        <f t="shared" si="3"/>
        <v>0</v>
      </c>
      <c r="AA36" s="23">
        <f t="shared" si="6"/>
        <v>0</v>
      </c>
      <c r="AB36" s="23">
        <f t="shared" si="7"/>
        <v>0</v>
      </c>
      <c r="AC36" s="45">
        <f>IF(SUM(Z36:AB36)=0,0,SUM(Z36:AB36)/'Resid Cust Fcst '!AQ37)</f>
        <v>0</v>
      </c>
    </row>
    <row r="37" spans="1:29">
      <c r="A37" s="153" t="s">
        <v>27</v>
      </c>
      <c r="B37" s="137">
        <f>'Resid Cust Fcst '!$AK38*'Resid TSM UC Adj'!J37</f>
        <v>0</v>
      </c>
      <c r="C37" s="23">
        <f>'Resid Cust Fcst '!$AK38*'Resid TSM UC Adj'!K37</f>
        <v>0</v>
      </c>
      <c r="D37" s="23">
        <f>'Resid Cust Fcst '!$AK38*'Resid TSM UC Adj'!L37</f>
        <v>0</v>
      </c>
      <c r="E37" s="45">
        <f>IF(SUM(B37:D37)=0,0,SUM(B37:D37)/'Resid Cust Fcst '!AK38)</f>
        <v>0</v>
      </c>
      <c r="F37" s="137">
        <f>'Resid Cust Fcst '!$AL38*'Resid TSM UC Adj'!J37</f>
        <v>0</v>
      </c>
      <c r="G37" s="23">
        <f>'Resid Cust Fcst '!$AL38*'Resid TSM UC Adj'!K37</f>
        <v>0</v>
      </c>
      <c r="H37" s="23">
        <f>'Resid Cust Fcst '!$AL38*'Resid TSM UC Adj'!L37</f>
        <v>0</v>
      </c>
      <c r="I37" s="45">
        <f>IF(SUM(F37:H37)=0,0,SUM(F37:H37)/'Resid Cust Fcst '!AL38)</f>
        <v>0</v>
      </c>
      <c r="J37" s="137">
        <f>'Resid Cust Fcst '!$AM38*'Resid TSM UC Adj'!J37</f>
        <v>0</v>
      </c>
      <c r="K37" s="23">
        <f>'Resid Cust Fcst '!$AM38*'Resid TSM UC Adj'!K37</f>
        <v>0</v>
      </c>
      <c r="L37" s="23">
        <f>'Resid Cust Fcst '!$AM38*'Resid TSM UC Adj'!L37</f>
        <v>0</v>
      </c>
      <c r="M37" s="45">
        <f>IF(SUM(J37:L37)=0,0,SUM(J37:L37)/'Resid Cust Fcst '!AM38)</f>
        <v>0</v>
      </c>
      <c r="N37" s="137">
        <f>'Resid Cust Fcst '!$AN38*'Resid TSM UC Adj'!N37</f>
        <v>0</v>
      </c>
      <c r="O37" s="23">
        <f>'Resid Cust Fcst '!$AN38*'Resid TSM UC Adj'!O37</f>
        <v>0</v>
      </c>
      <c r="P37" s="23">
        <f>'Resid Cust Fcst '!$AN38*'Resid TSM UC Adj'!P37</f>
        <v>0</v>
      </c>
      <c r="Q37" s="45">
        <f>IF(SUM(N37:P37)=0,0,SUM(N37:P37)/'Resid Cust Fcst '!AN38)</f>
        <v>0</v>
      </c>
      <c r="R37" s="137">
        <f t="shared" si="2"/>
        <v>0</v>
      </c>
      <c r="S37" s="23">
        <f t="shared" si="4"/>
        <v>0</v>
      </c>
      <c r="T37" s="23">
        <f t="shared" si="5"/>
        <v>0</v>
      </c>
      <c r="U37" s="45">
        <f>IF(SUM(R37:T37)=0,0,SUM(R37:T37)/'Resid Cust Fcst '!AO38)</f>
        <v>0</v>
      </c>
      <c r="V37" s="137">
        <f>'Resid Cust Fcst '!$AP38*'Resid TSM UC Adj'!R37</f>
        <v>0</v>
      </c>
      <c r="W37" s="23">
        <f>'Resid Cust Fcst '!$AP38*'Resid TSM UC Adj'!S37</f>
        <v>0</v>
      </c>
      <c r="X37" s="23">
        <f>'Resid Cust Fcst '!$AP38*'Resid TSM UC Adj'!T37</f>
        <v>0</v>
      </c>
      <c r="Y37" s="45">
        <f>IF(SUM(V37:X37)=0,0,SUM(V37:X37)/'Resid Cust Fcst '!AP38)</f>
        <v>0</v>
      </c>
      <c r="Z37" s="137">
        <f t="shared" si="3"/>
        <v>0</v>
      </c>
      <c r="AA37" s="23">
        <f t="shared" si="6"/>
        <v>0</v>
      </c>
      <c r="AB37" s="23">
        <f t="shared" si="7"/>
        <v>0</v>
      </c>
      <c r="AC37" s="45">
        <f>IF(SUM(Z37:AB37)=0,0,SUM(Z37:AB37)/'Resid Cust Fcst '!AQ38)</f>
        <v>0</v>
      </c>
    </row>
    <row r="38" spans="1:29" ht="13.5" thickBot="1">
      <c r="A38" s="156"/>
      <c r="B38" s="137"/>
      <c r="C38" s="23"/>
      <c r="D38" s="23"/>
      <c r="E38" s="45"/>
      <c r="F38" s="137"/>
      <c r="G38" s="23"/>
      <c r="H38" s="23"/>
      <c r="I38" s="45"/>
      <c r="J38" s="137"/>
      <c r="K38" s="23"/>
      <c r="L38" s="23"/>
      <c r="M38" s="45"/>
      <c r="N38" s="137"/>
      <c r="O38" s="23"/>
      <c r="P38" s="23"/>
      <c r="Q38" s="45"/>
      <c r="R38" s="244"/>
      <c r="S38" s="240"/>
      <c r="T38" s="240"/>
      <c r="U38" s="249"/>
      <c r="V38" s="137"/>
      <c r="W38" s="23"/>
      <c r="X38" s="23"/>
      <c r="Y38" s="45"/>
      <c r="Z38" s="137"/>
      <c r="AA38" s="23"/>
      <c r="AB38" s="23"/>
      <c r="AC38" s="45"/>
    </row>
    <row r="39" spans="1:29" ht="13.5" thickBot="1">
      <c r="A39" s="245" t="s">
        <v>2</v>
      </c>
      <c r="B39" s="317">
        <f>IF(SUM(B7:B37)=0,0,SUM(B7:B37)/'Resid Cust Fcst '!$AK$40)</f>
        <v>739.63350024466229</v>
      </c>
      <c r="C39" s="318">
        <f>IF(SUM(C7:C37)=0,0,SUM(C7:C37)/'Resid Cust Fcst '!$AK$40)</f>
        <v>177.2054366860084</v>
      </c>
      <c r="D39" s="318">
        <f>IF(SUM(D7:D37)=0,0,SUM(D7:D37)/'Resid Cust Fcst '!$AK$40)</f>
        <v>246.24333484162892</v>
      </c>
      <c r="E39" s="319">
        <f>SUM(B39:D39)</f>
        <v>1163.0822717722997</v>
      </c>
      <c r="F39" s="317">
        <f>IF(SUM(F7:F37)=0,0,SUM(F7:F37)/'Resid Cust Fcst '!$AL$40)</f>
        <v>0</v>
      </c>
      <c r="G39" s="318">
        <f>IF(SUM(G7:G37)=0,0,SUM(G7:G37)/'Resid Cust Fcst '!$AL$40)</f>
        <v>0</v>
      </c>
      <c r="H39" s="318">
        <f>IF(SUM(H7:H37)=0,0,SUM(H7:H37)/'Resid Cust Fcst '!$AL$40)</f>
        <v>0</v>
      </c>
      <c r="I39" s="319">
        <f>SUM(F39:H39)</f>
        <v>0</v>
      </c>
      <c r="J39" s="317">
        <f>IF(SUM(J7:J37)=0,0,SUM(J7:J37)/'Resid Cust Fcst '!$AM$40)</f>
        <v>0</v>
      </c>
      <c r="K39" s="318">
        <f>IF(SUM(K7:K37)=0,0,SUM(K7:K37)/'Resid Cust Fcst '!$AM$40)</f>
        <v>0</v>
      </c>
      <c r="L39" s="318">
        <f>IF(SUM(L7:L37)=0,0,SUM(L7:L37)/'Resid Cust Fcst '!$AM$40)</f>
        <v>0</v>
      </c>
      <c r="M39" s="319">
        <f>SUM(J39:L39)</f>
        <v>0</v>
      </c>
      <c r="N39" s="317">
        <f>IF(SUM(N7:N37)=0,0,SUM(N7:N37)/'Resid Cust Fcst '!$AN$40)</f>
        <v>0</v>
      </c>
      <c r="O39" s="318">
        <f>IF(SUM(O7:O37)=0,0,SUM(O7:O37)/'Resid Cust Fcst '!$AN$40)</f>
        <v>0</v>
      </c>
      <c r="P39" s="318">
        <f>IF(SUM(P7:P37)=0,0,SUM(P7:P37)/'Resid Cust Fcst '!$AN$40)</f>
        <v>0</v>
      </c>
      <c r="Q39" s="319">
        <f>SUM(N39:P39)</f>
        <v>0</v>
      </c>
      <c r="R39" s="317">
        <f>IF(SUM(R7:R37)=0,0,SUM(R7:R37)/'Resid Cust Fcst '!$AO$40)</f>
        <v>739.63350024466229</v>
      </c>
      <c r="S39" s="318">
        <f>IF(SUM(S7:S37)=0,0,SUM(S7:S37)/'Resid Cust Fcst '!$AO$40)</f>
        <v>177.2054366860084</v>
      </c>
      <c r="T39" s="318">
        <f>IF(SUM(T7:T37)=0,0,SUM(T7:T37)/'Resid Cust Fcst '!$AO$40)</f>
        <v>246.24333484162892</v>
      </c>
      <c r="U39" s="319">
        <f>SUM(R39:T39)</f>
        <v>1163.0822717722997</v>
      </c>
      <c r="V39" s="317">
        <f>IF(SUM(V7:V37)=0,0,SUM(V7:V37)/'Resid Cust Fcst '!$AP$40)</f>
        <v>0</v>
      </c>
      <c r="W39" s="318">
        <f>IF(SUM(W7:W37)=0,0,SUM(W7:W37)/'Resid Cust Fcst '!$AP$40)</f>
        <v>0</v>
      </c>
      <c r="X39" s="318">
        <f>IF(SUM(X7:X37)=0,0,SUM(X7:X37)/'Resid Cust Fcst '!$AP$40)</f>
        <v>0</v>
      </c>
      <c r="Y39" s="319">
        <f>SUM(V39:X39)</f>
        <v>0</v>
      </c>
      <c r="Z39" s="317">
        <f>IF(SUM(Z7:Z37)=0,0,SUM(Z7:Z37)/'Resid Cust Fcst '!$AQ$40)</f>
        <v>739.63350024466229</v>
      </c>
      <c r="AA39" s="318">
        <f>IF(SUM(AA7:AA37)=0,0,SUM(AA7:AA37)/'Resid Cust Fcst '!$AQ$40)</f>
        <v>177.2054366860084</v>
      </c>
      <c r="AB39" s="318">
        <f>IF(SUM(AB7:AB37)=0,0,SUM(AB7:AB37)/'Resid Cust Fcst '!$AQ$40)</f>
        <v>246.24333484162892</v>
      </c>
      <c r="AC39" s="319">
        <f>SUM(Z39:AB39)</f>
        <v>1163.0822717722997</v>
      </c>
    </row>
    <row r="40" spans="1:29">
      <c r="A40" s="55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</row>
    <row r="41" spans="1:29">
      <c r="A41" s="340" t="s">
        <v>102</v>
      </c>
      <c r="B41" s="18"/>
      <c r="C41" s="18"/>
      <c r="D41" s="18"/>
      <c r="E41" s="23">
        <f>IF(SUM(B7:D37)=0,0,SUM(B7:D37)/'Resid Cust Fcst '!AK40)-E39</f>
        <v>0</v>
      </c>
      <c r="F41" s="18"/>
      <c r="G41" s="18"/>
      <c r="H41" s="18"/>
      <c r="I41" s="23">
        <f>IF(SUM(F7:H37)=0,0,SUM(F7:H37)/'Resid Cust Fcst '!AL40)-I39</f>
        <v>0</v>
      </c>
      <c r="J41" s="18"/>
      <c r="K41" s="18"/>
      <c r="L41" s="18"/>
      <c r="M41" s="23">
        <f>IF(SUM(J7:L37)=0,0,SUM(J7:L37)/'Resid Cust Fcst '!AM40)-M39</f>
        <v>0</v>
      </c>
      <c r="N41" s="18"/>
      <c r="O41" s="18"/>
      <c r="P41" s="18"/>
      <c r="Q41" s="23">
        <f>IF(SUM(N7:P37)=0,0,SUM(N7:P37)/'Resid Cust Fcst '!AN40)-Q39</f>
        <v>0</v>
      </c>
      <c r="R41" s="18"/>
      <c r="S41" s="18"/>
      <c r="T41" s="18"/>
      <c r="U41" s="23">
        <f>IF(SUM(R7:T37)=0,0,SUM(R7:T37)/'Resid Cust Fcst '!AO40)-U39</f>
        <v>0</v>
      </c>
      <c r="V41" s="18"/>
      <c r="W41" s="18"/>
      <c r="X41" s="18"/>
      <c r="Y41" s="23">
        <f>IF(SUM(V7:X37)=0,0,SUM(V7:X37)/'Resid Cust Fcst '!AP40)-Y39</f>
        <v>0</v>
      </c>
      <c r="Z41" s="18"/>
      <c r="AA41" s="18"/>
      <c r="AB41" s="18"/>
      <c r="AC41" s="23">
        <f>IF(SUM(Z7:AB37)=0,0,SUM(Z7:AB37)/'Resid Cust Fcst '!AQ40)-AC39</f>
        <v>0</v>
      </c>
    </row>
    <row r="42" spans="1:29">
      <c r="N42" s="56"/>
      <c r="O42" s="56"/>
      <c r="P42" s="56"/>
    </row>
    <row r="43" spans="1:29">
      <c r="N43" s="56"/>
      <c r="O43" s="56"/>
      <c r="P43" s="56"/>
    </row>
    <row r="44" spans="1:29">
      <c r="A44" s="19"/>
      <c r="N44" s="18"/>
      <c r="O44" s="18"/>
      <c r="P44" s="18"/>
    </row>
    <row r="56" spans="1:1">
      <c r="A56" s="19"/>
    </row>
  </sheetData>
  <mergeCells count="9">
    <mergeCell ref="A1:Y1"/>
    <mergeCell ref="B2:U2"/>
    <mergeCell ref="V2:Y2"/>
    <mergeCell ref="Z2:AC2"/>
    <mergeCell ref="B3:E3"/>
    <mergeCell ref="F3:I3"/>
    <mergeCell ref="J3:M3"/>
    <mergeCell ref="N3:Q3"/>
    <mergeCell ref="R3:U3"/>
  </mergeCells>
  <printOptions horizontalCentered="1"/>
  <pageMargins left="0.75" right="0.75" top="1" bottom="1" header="0.5" footer="0.5"/>
  <pageSetup scale="40" orientation="portrait" r:id="rId1"/>
  <headerFooter alignWithMargins="0">
    <oddFooter>&amp;L&amp;F
&amp;A&amp;R&amp;P of &amp;N</oddFooter>
  </headerFooter>
  <colBreaks count="1" manualBreakCount="1">
    <brk id="17" max="38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76">
    <tabColor rgb="FFC00000"/>
  </sheetPr>
  <dimension ref="A1:AC56"/>
  <sheetViews>
    <sheetView zoomScaleNormal="100" workbookViewId="0">
      <selection activeCell="C9" sqref="C9"/>
    </sheetView>
  </sheetViews>
  <sheetFormatPr defaultRowHeight="12.75"/>
  <cols>
    <col min="1" max="1" width="39" customWidth="1"/>
    <col min="2" max="2" width="12.85546875" customWidth="1"/>
    <col min="3" max="3" width="11.28515625" customWidth="1"/>
    <col min="4" max="4" width="12.28515625" customWidth="1"/>
    <col min="5" max="5" width="9.28515625" customWidth="1"/>
    <col min="6" max="6" width="12.85546875" customWidth="1"/>
    <col min="7" max="7" width="11.28515625" customWidth="1"/>
    <col min="8" max="8" width="10.28515625" customWidth="1"/>
    <col min="9" max="9" width="11.28515625" customWidth="1"/>
    <col min="10" max="10" width="12.85546875" customWidth="1"/>
    <col min="11" max="12" width="12.28515625" customWidth="1"/>
    <col min="13" max="13" width="10.28515625" customWidth="1"/>
    <col min="14" max="14" width="12.85546875" customWidth="1"/>
    <col min="15" max="15" width="10" customWidth="1"/>
    <col min="16" max="17" width="10.28515625" customWidth="1"/>
    <col min="18" max="18" width="12.85546875" customWidth="1"/>
    <col min="19" max="20" width="12.28515625" customWidth="1"/>
    <col min="21" max="21" width="11.28515625" customWidth="1"/>
    <col min="22" max="22" width="12.85546875" customWidth="1"/>
    <col min="23" max="25" width="10.28515625" customWidth="1"/>
    <col min="26" max="29" width="13.85546875" customWidth="1"/>
  </cols>
  <sheetData>
    <row r="1" spans="1:29" ht="18.75" thickBot="1">
      <c r="A1" s="841" t="s">
        <v>404</v>
      </c>
      <c r="B1" s="841"/>
      <c r="C1" s="841"/>
      <c r="D1" s="841"/>
      <c r="E1" s="841"/>
      <c r="F1" s="841"/>
      <c r="G1" s="841"/>
      <c r="H1" s="841"/>
      <c r="I1" s="841"/>
      <c r="J1" s="841"/>
      <c r="K1" s="841"/>
      <c r="L1" s="841"/>
      <c r="M1" s="841"/>
      <c r="N1" s="841"/>
      <c r="O1" s="841"/>
      <c r="P1" s="841"/>
      <c r="Q1" s="841"/>
      <c r="R1" s="841"/>
      <c r="S1" s="841"/>
      <c r="T1" s="841"/>
      <c r="U1" s="841"/>
      <c r="V1" s="841"/>
      <c r="W1" s="841"/>
      <c r="X1" s="841"/>
      <c r="Y1" s="841"/>
    </row>
    <row r="2" spans="1:29" ht="13.5" thickBot="1">
      <c r="A2" s="131"/>
      <c r="B2" s="834" t="s">
        <v>132</v>
      </c>
      <c r="C2" s="835"/>
      <c r="D2" s="835"/>
      <c r="E2" s="835"/>
      <c r="F2" s="835"/>
      <c r="G2" s="835"/>
      <c r="H2" s="835"/>
      <c r="I2" s="835"/>
      <c r="J2" s="835"/>
      <c r="K2" s="835"/>
      <c r="L2" s="835"/>
      <c r="M2" s="835"/>
      <c r="N2" s="835"/>
      <c r="O2" s="835"/>
      <c r="P2" s="835"/>
      <c r="Q2" s="835"/>
      <c r="R2" s="835"/>
      <c r="S2" s="835"/>
      <c r="T2" s="835"/>
      <c r="U2" s="837"/>
      <c r="V2" s="834" t="s">
        <v>133</v>
      </c>
      <c r="W2" s="835"/>
      <c r="X2" s="835"/>
      <c r="Y2" s="837"/>
      <c r="Z2" s="834" t="s">
        <v>151</v>
      </c>
      <c r="AA2" s="835"/>
      <c r="AB2" s="835"/>
      <c r="AC2" s="837"/>
    </row>
    <row r="3" spans="1:29">
      <c r="A3" s="196"/>
      <c r="B3" s="842" t="s">
        <v>127</v>
      </c>
      <c r="C3" s="843"/>
      <c r="D3" s="843"/>
      <c r="E3" s="844"/>
      <c r="F3" s="842" t="s">
        <v>114</v>
      </c>
      <c r="G3" s="843"/>
      <c r="H3" s="843"/>
      <c r="I3" s="844"/>
      <c r="J3" s="842" t="s">
        <v>115</v>
      </c>
      <c r="K3" s="843"/>
      <c r="L3" s="843"/>
      <c r="M3" s="844"/>
      <c r="N3" s="842" t="s">
        <v>113</v>
      </c>
      <c r="O3" s="843"/>
      <c r="P3" s="843"/>
      <c r="Q3" s="844"/>
      <c r="R3" s="836" t="s">
        <v>138</v>
      </c>
      <c r="S3" s="843"/>
      <c r="T3" s="843"/>
      <c r="U3" s="844"/>
      <c r="V3" s="655"/>
      <c r="W3" s="656"/>
      <c r="X3" s="656"/>
      <c r="Y3" s="657"/>
      <c r="Z3" s="655"/>
      <c r="AA3" s="656"/>
      <c r="AB3" s="656"/>
      <c r="AC3" s="657"/>
    </row>
    <row r="4" spans="1:29" ht="13.5" thickBot="1">
      <c r="A4" s="102" t="s">
        <v>4</v>
      </c>
      <c r="B4" s="652" t="s">
        <v>36</v>
      </c>
      <c r="C4" s="653" t="s">
        <v>37</v>
      </c>
      <c r="D4" s="653" t="s">
        <v>38</v>
      </c>
      <c r="E4" s="654" t="s">
        <v>41</v>
      </c>
      <c r="F4" s="652" t="s">
        <v>36</v>
      </c>
      <c r="G4" s="653" t="s">
        <v>37</v>
      </c>
      <c r="H4" s="653" t="s">
        <v>38</v>
      </c>
      <c r="I4" s="654" t="s">
        <v>41</v>
      </c>
      <c r="J4" s="652" t="s">
        <v>36</v>
      </c>
      <c r="K4" s="653" t="s">
        <v>37</v>
      </c>
      <c r="L4" s="653" t="s">
        <v>40</v>
      </c>
      <c r="M4" s="654" t="s">
        <v>41</v>
      </c>
      <c r="N4" s="652" t="s">
        <v>36</v>
      </c>
      <c r="O4" s="653" t="s">
        <v>37</v>
      </c>
      <c r="P4" s="653" t="s">
        <v>40</v>
      </c>
      <c r="Q4" s="654" t="s">
        <v>41</v>
      </c>
      <c r="R4" s="652" t="s">
        <v>36</v>
      </c>
      <c r="S4" s="653" t="s">
        <v>37</v>
      </c>
      <c r="T4" s="653" t="s">
        <v>38</v>
      </c>
      <c r="U4" s="654" t="s">
        <v>41</v>
      </c>
      <c r="V4" s="652" t="s">
        <v>36</v>
      </c>
      <c r="W4" s="653" t="s">
        <v>37</v>
      </c>
      <c r="X4" s="653" t="s">
        <v>40</v>
      </c>
      <c r="Y4" s="654" t="s">
        <v>41</v>
      </c>
      <c r="Z4" s="652" t="s">
        <v>36</v>
      </c>
      <c r="AA4" s="653" t="s">
        <v>37</v>
      </c>
      <c r="AB4" s="653" t="s">
        <v>40</v>
      </c>
      <c r="AC4" s="654" t="s">
        <v>41</v>
      </c>
    </row>
    <row r="5" spans="1:29">
      <c r="A5" s="133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5" t="s">
        <v>42</v>
      </c>
      <c r="K5" s="6" t="s">
        <v>42</v>
      </c>
      <c r="L5" s="6" t="s">
        <v>42</v>
      </c>
      <c r="M5" s="7" t="s">
        <v>43</v>
      </c>
      <c r="N5" s="5" t="s">
        <v>42</v>
      </c>
      <c r="O5" s="6" t="s">
        <v>42</v>
      </c>
      <c r="P5" s="6" t="s">
        <v>42</v>
      </c>
      <c r="Q5" s="7" t="s">
        <v>43</v>
      </c>
      <c r="R5" s="5" t="s">
        <v>42</v>
      </c>
      <c r="S5" s="6" t="s">
        <v>42</v>
      </c>
      <c r="T5" s="6" t="s">
        <v>42</v>
      </c>
      <c r="U5" s="7" t="s">
        <v>43</v>
      </c>
      <c r="V5" s="132" t="s">
        <v>42</v>
      </c>
      <c r="W5" s="8" t="s">
        <v>42</v>
      </c>
      <c r="X5" s="8" t="s">
        <v>42</v>
      </c>
      <c r="Y5" s="9" t="s">
        <v>43</v>
      </c>
      <c r="Z5" s="132" t="s">
        <v>42</v>
      </c>
      <c r="AA5" s="8" t="s">
        <v>42</v>
      </c>
      <c r="AB5" s="8" t="s">
        <v>42</v>
      </c>
      <c r="AC5" s="9" t="s">
        <v>43</v>
      </c>
    </row>
    <row r="6" spans="1:29">
      <c r="A6" s="112"/>
      <c r="B6" s="132"/>
      <c r="C6" s="8"/>
      <c r="D6" s="8"/>
      <c r="E6" s="9"/>
      <c r="F6" s="132"/>
      <c r="G6" s="8"/>
      <c r="H6" s="8"/>
      <c r="I6" s="9"/>
      <c r="J6" s="132"/>
      <c r="K6" s="8"/>
      <c r="L6" s="8"/>
      <c r="M6" s="9"/>
      <c r="N6" s="132"/>
      <c r="O6" s="8"/>
      <c r="P6" s="8"/>
      <c r="Q6" s="9"/>
      <c r="R6" s="132"/>
      <c r="S6" s="8"/>
      <c r="T6" s="8"/>
      <c r="U6" s="9"/>
      <c r="V6" s="132"/>
      <c r="W6" s="8"/>
      <c r="X6" s="8"/>
      <c r="Y6" s="9"/>
      <c r="Z6" s="132"/>
      <c r="AA6" s="8"/>
      <c r="AB6" s="8"/>
      <c r="AC6" s="9"/>
    </row>
    <row r="7" spans="1:29">
      <c r="A7" s="153" t="s">
        <v>5</v>
      </c>
      <c r="B7" s="137">
        <f>'Resid Cust Fcst '!$AR8*'Resid TSM UC Adj'!B7</f>
        <v>172509.90688957347</v>
      </c>
      <c r="C7" s="23">
        <f>'Resid Cust Fcst '!$AR8*'Resid TSM UC Adj'!C7</f>
        <v>97515.253767664341</v>
      </c>
      <c r="D7" s="23">
        <f>'Resid Cust Fcst '!$AR8*'Resid TSM UC Adj'!D7</f>
        <v>173109.06439366515</v>
      </c>
      <c r="E7" s="45">
        <f>IF(SUM(B7:D7)=0,0,SUM(B7:D7)/'Resid Cust Fcst '!AR8)</f>
        <v>630.34740405533842</v>
      </c>
      <c r="F7" s="137">
        <f>'Resid Cust Fcst '!$AS8*'Resid TSM UC Adj'!F7</f>
        <v>0</v>
      </c>
      <c r="G7" s="23">
        <f>'Resid Cust Fcst '!$AS8*'Resid TSM UC Adj'!G7</f>
        <v>0</v>
      </c>
      <c r="H7" s="23">
        <f>'Resid Cust Fcst '!$AS8*'Resid TSM UC Adj'!H7</f>
        <v>0</v>
      </c>
      <c r="I7" s="45">
        <f>IF(SUM(F7:H7)=0,0,SUM(F7:H7)/'Resid Cust Fcst '!AS8)</f>
        <v>0</v>
      </c>
      <c r="J7" s="137">
        <f>'Resid Cust Fcst '!$AT8*'Resid TSM UC Adj'!J7</f>
        <v>1223.8268229361267</v>
      </c>
      <c r="K7" s="23">
        <f>'Resid Cust Fcst '!$AT8*'Resid TSM UC Adj'!K7</f>
        <v>3016.5709200120423</v>
      </c>
      <c r="L7" s="23">
        <f>'Resid Cust Fcst '!$AT8*'Resid TSM UC Adj'!L7</f>
        <v>1492.72</v>
      </c>
      <c r="M7" s="45">
        <f>IF(SUM(J7:L7)=0,0,SUM(J7:L7)/'Resid Cust Fcst '!AT8)</f>
        <v>1433.2794357370424</v>
      </c>
      <c r="N7" s="137">
        <f>'Resid Cust Fcst '!$AU8*'Resid TSM UC Adj'!N7</f>
        <v>0</v>
      </c>
      <c r="O7" s="23">
        <f>'Resid Cust Fcst '!$AU8*'Resid TSM UC Adj'!O7</f>
        <v>0</v>
      </c>
      <c r="P7" s="23">
        <f>'Resid Cust Fcst '!$AU8*'Resid TSM UC Adj'!P7</f>
        <v>0</v>
      </c>
      <c r="Q7" s="45">
        <f>IF(SUM(N7:P7)=0,0,SUM(N7:P7)/'Resid Cust Fcst '!AU8)</f>
        <v>0</v>
      </c>
      <c r="R7" s="137">
        <f>B7+F7+J7+N7</f>
        <v>173733.73371250959</v>
      </c>
      <c r="S7" s="23">
        <f t="shared" ref="S7:T22" si="0">C7+G7+K7+O7</f>
        <v>100531.82468767639</v>
      </c>
      <c r="T7" s="23">
        <f t="shared" si="0"/>
        <v>174601.78439366515</v>
      </c>
      <c r="U7" s="45">
        <f>IF(SUM(R7:T7)=0,0,SUM(R7:T7)/'Resid Cust Fcst '!AV8)</f>
        <v>634.89015953868625</v>
      </c>
      <c r="V7" s="137">
        <f>'Resid Cust Fcst '!$AW8*'Resid TSM UC Adj'!R7</f>
        <v>0</v>
      </c>
      <c r="W7" s="23">
        <f>'Resid Cust Fcst '!$AW8*'Resid TSM UC Adj'!S7</f>
        <v>0</v>
      </c>
      <c r="X7" s="23">
        <f>'Resid Cust Fcst '!$AW8*'Resid TSM UC Adj'!T7</f>
        <v>0</v>
      </c>
      <c r="Y7" s="45">
        <f>IF(SUM(V7:X7)=0,0,SUM(V7:X7)/'Resid Cust Fcst '!AW8)</f>
        <v>0</v>
      </c>
      <c r="Z7" s="137">
        <f>R7+V7</f>
        <v>173733.73371250959</v>
      </c>
      <c r="AA7" s="23">
        <f t="shared" ref="AA7:AB22" si="1">S7+W7</f>
        <v>100531.82468767639</v>
      </c>
      <c r="AB7" s="23">
        <f t="shared" si="1"/>
        <v>174601.78439366515</v>
      </c>
      <c r="AC7" s="45">
        <f>IF(SUM(Z7:AB7)=0,0,SUM(Z7:AB7)/'Resid Cust Fcst '!AX8)</f>
        <v>634.89015953868625</v>
      </c>
    </row>
    <row r="8" spans="1:29">
      <c r="A8" s="155" t="s">
        <v>6</v>
      </c>
      <c r="B8" s="137">
        <f>'Resid Cust Fcst '!$AR9*'Resid TSM UC Adj'!B8</f>
        <v>1761487.0557584411</v>
      </c>
      <c r="C8" s="23">
        <f>'Resid Cust Fcst '!$AR9*'Resid TSM UC Adj'!C8</f>
        <v>316820.53997915413</v>
      </c>
      <c r="D8" s="23">
        <f>'Resid Cust Fcst '!$AR9*'Resid TSM UC Adj'!D8</f>
        <v>562419.7767782805</v>
      </c>
      <c r="E8" s="45">
        <f>IF(SUM(B8:D8)=0,0,SUM(B8:D8)/'Resid Cust Fcst '!AR9)</f>
        <v>1156.1853644990699</v>
      </c>
      <c r="F8" s="137">
        <f>'Resid Cust Fcst '!$AS9*'Resid TSM UC Adj'!F8</f>
        <v>872.94432902334779</v>
      </c>
      <c r="G8" s="23">
        <f>'Resid Cust Fcst '!$AS9*'Resid TSM UC Adj'!G8</f>
        <v>754.14273000301057</v>
      </c>
      <c r="H8" s="23">
        <f>'Resid Cust Fcst '!$AS9*'Resid TSM UC Adj'!H8</f>
        <v>373.18</v>
      </c>
      <c r="I8" s="45">
        <f>IF(SUM(F8:H8)=0,0,SUM(F8:H8)/'Resid Cust Fcst '!AS9)</f>
        <v>2000.2670590263585</v>
      </c>
      <c r="J8" s="137">
        <f>'Resid Cust Fcst '!$AT9*'Resid TSM UC Adj'!J8</f>
        <v>1835.74023440419</v>
      </c>
      <c r="K8" s="23">
        <f>'Resid Cust Fcst '!$AT9*'Resid TSM UC Adj'!K8</f>
        <v>1508.2854600060211</v>
      </c>
      <c r="L8" s="23">
        <f>'Resid Cust Fcst '!$AT9*'Resid TSM UC Adj'!L8</f>
        <v>746.36</v>
      </c>
      <c r="M8" s="45">
        <f>IF(SUM(J8:L8)=0,0,SUM(J8:L8)/'Resid Cust Fcst '!AT9)</f>
        <v>2045.1928472051056</v>
      </c>
      <c r="N8" s="137">
        <f>'Resid Cust Fcst '!$AU9*'Resid TSM UC Adj'!N8</f>
        <v>0</v>
      </c>
      <c r="O8" s="23">
        <f>'Resid Cust Fcst '!$AU9*'Resid TSM UC Adj'!O8</f>
        <v>0</v>
      </c>
      <c r="P8" s="23">
        <f>'Resid Cust Fcst '!$AU9*'Resid TSM UC Adj'!P8</f>
        <v>0</v>
      </c>
      <c r="Q8" s="45">
        <f>IF(SUM(N8:P8)=0,0,SUM(N8:P8)/'Resid Cust Fcst '!AU9)</f>
        <v>0</v>
      </c>
      <c r="R8" s="137">
        <f t="shared" ref="R8:T37" si="2">B8+F8+J8+N8</f>
        <v>1764195.7403218686</v>
      </c>
      <c r="S8" s="23">
        <f t="shared" si="0"/>
        <v>319082.96816916316</v>
      </c>
      <c r="T8" s="23">
        <f t="shared" si="0"/>
        <v>563539.31677828054</v>
      </c>
      <c r="U8" s="45">
        <f>IF(SUM(R8:T8)=0,0,SUM(R8:T8)/'Resid Cust Fcst '!AV9)</f>
        <v>1157.3318868689603</v>
      </c>
      <c r="V8" s="137">
        <f>'Resid Cust Fcst '!$AW9*'Resid TSM UC Adj'!R8</f>
        <v>0</v>
      </c>
      <c r="W8" s="23">
        <f>'Resid Cust Fcst '!$AW9*'Resid TSM UC Adj'!S8</f>
        <v>0</v>
      </c>
      <c r="X8" s="23">
        <f>'Resid Cust Fcst '!$AW9*'Resid TSM UC Adj'!T8</f>
        <v>0</v>
      </c>
      <c r="Y8" s="45">
        <f>IF(SUM(V8:X8)=0,0,SUM(V8:X8)/'Resid Cust Fcst '!AW9)</f>
        <v>0</v>
      </c>
      <c r="Z8" s="137">
        <f t="shared" ref="Z8:AB37" si="3">R8+V8</f>
        <v>1764195.7403218686</v>
      </c>
      <c r="AA8" s="23">
        <f t="shared" si="1"/>
        <v>319082.96816916316</v>
      </c>
      <c r="AB8" s="23">
        <f t="shared" si="1"/>
        <v>563539.31677828054</v>
      </c>
      <c r="AC8" s="45">
        <f>IF(SUM(Z8:AB8)=0,0,SUM(Z8:AB8)/'Resid Cust Fcst '!AX9)</f>
        <v>1157.3318868689603</v>
      </c>
    </row>
    <row r="9" spans="1:29">
      <c r="A9" s="155" t="s">
        <v>7</v>
      </c>
      <c r="B9" s="137">
        <f>'Resid Cust Fcst '!$AR10*'Resid TSM UC Adj'!B9</f>
        <v>815189.06214390206</v>
      </c>
      <c r="C9" s="23">
        <f>'Resid Cust Fcst '!$AR10*'Resid TSM UC Adj'!C9</f>
        <v>236190.92875202993</v>
      </c>
      <c r="D9" s="23">
        <f>'Resid Cust Fcst '!$AR10*'Resid TSM UC Adj'!D9</f>
        <v>297461.94848868775</v>
      </c>
      <c r="E9" s="45">
        <f>IF(SUM(B9:D9)=0,0,SUM(B9:D9)/'Resid Cust Fcst '!AR10)</f>
        <v>1116.5910094243541</v>
      </c>
      <c r="F9" s="137">
        <f>'Resid Cust Fcst '!$AS10*'Resid TSM UC Adj'!F9</f>
        <v>0</v>
      </c>
      <c r="G9" s="23">
        <f>'Resid Cust Fcst '!$AS10*'Resid TSM UC Adj'!G9</f>
        <v>0</v>
      </c>
      <c r="H9" s="23">
        <f>'Resid Cust Fcst '!$AS10*'Resid TSM UC Adj'!H9</f>
        <v>0</v>
      </c>
      <c r="I9" s="45">
        <f>IF(SUM(F9:H9)=0,0,SUM(F9:H9)/'Resid Cust Fcst '!AS10)</f>
        <v>0</v>
      </c>
      <c r="J9" s="137">
        <f>'Resid Cust Fcst '!$AT10*'Resid TSM UC Adj'!J9</f>
        <v>1835.74023440419</v>
      </c>
      <c r="K9" s="23">
        <f>'Resid Cust Fcst '!$AT10*'Resid TSM UC Adj'!K9</f>
        <v>888.28562532861781</v>
      </c>
      <c r="L9" s="23">
        <f>'Resid Cust Fcst '!$AT10*'Resid TSM UC Adj'!L9</f>
        <v>373.18</v>
      </c>
      <c r="M9" s="45">
        <f>IF(SUM(J9:L9)=0,0,SUM(J9:L9)/'Resid Cust Fcst '!AT10)</f>
        <v>3097.2058597328078</v>
      </c>
      <c r="N9" s="137">
        <f>'Resid Cust Fcst '!$AU10*'Resid TSM UC Adj'!N9</f>
        <v>0</v>
      </c>
      <c r="O9" s="23">
        <f>'Resid Cust Fcst '!$AU10*'Resid TSM UC Adj'!O9</f>
        <v>0</v>
      </c>
      <c r="P9" s="23">
        <f>'Resid Cust Fcst '!$AU10*'Resid TSM UC Adj'!P9</f>
        <v>0</v>
      </c>
      <c r="Q9" s="45">
        <f>IF(SUM(N9:P9)=0,0,SUM(N9:P9)/'Resid Cust Fcst '!AU10)</f>
        <v>0</v>
      </c>
      <c r="R9" s="137">
        <f t="shared" si="2"/>
        <v>817024.80237830628</v>
      </c>
      <c r="S9" s="23">
        <f t="shared" si="0"/>
        <v>237079.21437735856</v>
      </c>
      <c r="T9" s="23">
        <f t="shared" si="0"/>
        <v>297835.12848868774</v>
      </c>
      <c r="U9" s="45">
        <f>IF(SUM(R9:T9)=0,0,SUM(R9:T9)/'Resid Cust Fcst '!AV10)</f>
        <v>1118.2292351069914</v>
      </c>
      <c r="V9" s="137">
        <f>'Resid Cust Fcst '!$AW10*'Resid TSM UC Adj'!R9</f>
        <v>0</v>
      </c>
      <c r="W9" s="23">
        <f>'Resid Cust Fcst '!$AW10*'Resid TSM UC Adj'!S9</f>
        <v>0</v>
      </c>
      <c r="X9" s="23">
        <f>'Resid Cust Fcst '!$AW10*'Resid TSM UC Adj'!T9</f>
        <v>0</v>
      </c>
      <c r="Y9" s="45">
        <f>IF(SUM(V9:X9)=0,0,SUM(V9:X9)/'Resid Cust Fcst '!AW10)</f>
        <v>0</v>
      </c>
      <c r="Z9" s="137">
        <f t="shared" si="3"/>
        <v>817024.80237830628</v>
      </c>
      <c r="AA9" s="23">
        <f t="shared" si="1"/>
        <v>237079.21437735856</v>
      </c>
      <c r="AB9" s="23">
        <f t="shared" si="1"/>
        <v>297835.12848868774</v>
      </c>
      <c r="AC9" s="45">
        <f>IF(SUM(Z9:AB9)=0,0,SUM(Z9:AB9)/'Resid Cust Fcst '!AX10)</f>
        <v>1118.2292351069914</v>
      </c>
    </row>
    <row r="10" spans="1:29" s="58" customFormat="1">
      <c r="A10" s="288" t="s">
        <v>124</v>
      </c>
      <c r="B10" s="137">
        <f>'Resid Cust Fcst '!$AR11*'Resid TSM UC Adj'!B10</f>
        <v>330664.4374590331</v>
      </c>
      <c r="C10" s="23">
        <f>'Resid Cust Fcst '!$AR11*'Resid TSM UC Adj'!C10</f>
        <v>52364.290553868414</v>
      </c>
      <c r="D10" s="23">
        <f>'Resid Cust Fcst '!$AR11*'Resid TSM UC Adj'!D10</f>
        <v>60329.617036199095</v>
      </c>
      <c r="E10" s="45">
        <f>IF(SUM(B10:D10)=0,0,SUM(B10:D10)/'Resid Cust Fcst '!AR11)</f>
        <v>1809.6258981595943</v>
      </c>
      <c r="F10" s="137">
        <f>'Resid Cust Fcst '!$AS11*'Resid TSM UC Adj'!F10</f>
        <v>0</v>
      </c>
      <c r="G10" s="23">
        <f>'Resid Cust Fcst '!$AS11*'Resid TSM UC Adj'!G10</f>
        <v>0</v>
      </c>
      <c r="H10" s="23">
        <f>'Resid Cust Fcst '!$AS11*'Resid TSM UC Adj'!H10</f>
        <v>0</v>
      </c>
      <c r="I10" s="45">
        <f>IF(SUM(F10:H10)=0,0,SUM(F10:H10)/'Resid Cust Fcst '!AS11)</f>
        <v>0</v>
      </c>
      <c r="J10" s="137">
        <f>'Resid Cust Fcst '!$AT11*'Resid TSM UC Adj'!J10</f>
        <v>1979.5343746713816</v>
      </c>
      <c r="K10" s="23">
        <f>'Resid Cust Fcst '!$AT11*'Resid TSM UC Adj'!K10</f>
        <v>888.28562532861781</v>
      </c>
      <c r="L10" s="23">
        <f>'Resid Cust Fcst '!$AT11*'Resid TSM UC Adj'!L10</f>
        <v>373.18</v>
      </c>
      <c r="M10" s="45">
        <f>IF(SUM(J10:L10)=0,0,SUM(J10:L10)/'Resid Cust Fcst '!AT11)</f>
        <v>3240.9999999999991</v>
      </c>
      <c r="N10" s="137">
        <f>'Resid Cust Fcst '!$AU11*'Resid TSM UC Adj'!N10</f>
        <v>0</v>
      </c>
      <c r="O10" s="23">
        <f>'Resid Cust Fcst '!$AU11*'Resid TSM UC Adj'!O10</f>
        <v>0</v>
      </c>
      <c r="P10" s="23">
        <f>'Resid Cust Fcst '!$AU11*'Resid TSM UC Adj'!P10</f>
        <v>0</v>
      </c>
      <c r="Q10" s="45">
        <f>IF(SUM(N10:P10)=0,0,SUM(N10:P10)/'Resid Cust Fcst '!AU11)</f>
        <v>0</v>
      </c>
      <c r="R10" s="137">
        <f t="shared" si="2"/>
        <v>332643.97183370451</v>
      </c>
      <c r="S10" s="23">
        <f t="shared" si="0"/>
        <v>53252.576179197029</v>
      </c>
      <c r="T10" s="23">
        <f t="shared" si="0"/>
        <v>60702.797036199096</v>
      </c>
      <c r="U10" s="45">
        <f>IF(SUM(R10:T10)=0,0,SUM(R10:T10)/'Resid Cust Fcst '!AV11)</f>
        <v>1815.4444920695148</v>
      </c>
      <c r="V10" s="137">
        <f>'Resid Cust Fcst '!$AW11*'Resid TSM UC Adj'!R10</f>
        <v>0</v>
      </c>
      <c r="W10" s="23">
        <f>'Resid Cust Fcst '!$AW11*'Resid TSM UC Adj'!S10</f>
        <v>0</v>
      </c>
      <c r="X10" s="23">
        <f>'Resid Cust Fcst '!$AW11*'Resid TSM UC Adj'!T10</f>
        <v>0</v>
      </c>
      <c r="Y10" s="45">
        <f>IF(SUM(V10:X10)=0,0,SUM(V10:X10)/'Resid Cust Fcst '!AW11)</f>
        <v>0</v>
      </c>
      <c r="Z10" s="137">
        <f t="shared" si="3"/>
        <v>332643.97183370451</v>
      </c>
      <c r="AA10" s="23">
        <f t="shared" si="1"/>
        <v>53252.576179197029</v>
      </c>
      <c r="AB10" s="23">
        <f t="shared" si="1"/>
        <v>60702.797036199096</v>
      </c>
      <c r="AC10" s="45">
        <f>IF(SUM(Z10:AB10)=0,0,SUM(Z10:AB10)/'Resid Cust Fcst '!AX11)</f>
        <v>1815.4444920695148</v>
      </c>
    </row>
    <row r="11" spans="1:29">
      <c r="A11" s="153" t="s">
        <v>116</v>
      </c>
      <c r="B11" s="137">
        <f>'Resid Cust Fcst '!$AR12*'Resid TSM UC Adj'!B11</f>
        <v>49937.078310139696</v>
      </c>
      <c r="C11" s="23">
        <f>'Resid Cust Fcst '!$AR12*'Resid TSM UC Adj'!C11</f>
        <v>7908.0765326250257</v>
      </c>
      <c r="D11" s="23">
        <f>'Resid Cust Fcst '!$AR12*'Resid TSM UC Adj'!D11</f>
        <v>9111.0033891402709</v>
      </c>
      <c r="E11" s="45">
        <f>IF(SUM(B11:D11)=0,0,SUM(B11:D11)/'Resid Cust Fcst '!AR12)</f>
        <v>1809.6258981595943</v>
      </c>
      <c r="F11" s="137">
        <f>'Resid Cust Fcst '!$AS12*'Resid TSM UC Adj'!F11</f>
        <v>0</v>
      </c>
      <c r="G11" s="23">
        <f>'Resid Cust Fcst '!$AS12*'Resid TSM UC Adj'!G11</f>
        <v>0</v>
      </c>
      <c r="H11" s="23">
        <f>'Resid Cust Fcst '!$AS12*'Resid TSM UC Adj'!H11</f>
        <v>0</v>
      </c>
      <c r="I11" s="45">
        <f>IF(SUM(F11:H11)=0,0,SUM(F11:H11)/'Resid Cust Fcst '!AS12)</f>
        <v>0</v>
      </c>
      <c r="J11" s="137">
        <f>'Resid Cust Fcst '!$AT12*'Resid TSM UC Adj'!J11</f>
        <v>0</v>
      </c>
      <c r="K11" s="23">
        <f>'Resid Cust Fcst '!$AT12*'Resid TSM UC Adj'!K11</f>
        <v>0</v>
      </c>
      <c r="L11" s="23">
        <f>'Resid Cust Fcst '!$AT12*'Resid TSM UC Adj'!L11</f>
        <v>0</v>
      </c>
      <c r="M11" s="45">
        <f>IF(SUM(J11:L11)=0,0,SUM(J11:L11)/'Resid Cust Fcst '!AT12)</f>
        <v>0</v>
      </c>
      <c r="N11" s="137">
        <f>'Resid Cust Fcst '!$AU12*'Resid TSM UC Adj'!N11</f>
        <v>0</v>
      </c>
      <c r="O11" s="23">
        <f>'Resid Cust Fcst '!$AU12*'Resid TSM UC Adj'!O11</f>
        <v>0</v>
      </c>
      <c r="P11" s="23">
        <f>'Resid Cust Fcst '!$AU12*'Resid TSM UC Adj'!P11</f>
        <v>0</v>
      </c>
      <c r="Q11" s="45">
        <f>IF(SUM(N11:P11)=0,0,SUM(N11:P11)/'Resid Cust Fcst '!AU12)</f>
        <v>0</v>
      </c>
      <c r="R11" s="137">
        <f t="shared" si="2"/>
        <v>49937.078310139696</v>
      </c>
      <c r="S11" s="23">
        <f t="shared" si="0"/>
        <v>7908.0765326250257</v>
      </c>
      <c r="T11" s="23">
        <f t="shared" si="0"/>
        <v>9111.0033891402709</v>
      </c>
      <c r="U11" s="45">
        <f>IF(SUM(R11:T11)=0,0,SUM(R11:T11)/'Resid Cust Fcst '!AV12)</f>
        <v>1809.6258981595943</v>
      </c>
      <c r="V11" s="137">
        <f>'Resid Cust Fcst '!$AW12*'Resid TSM UC Adj'!R11</f>
        <v>0</v>
      </c>
      <c r="W11" s="23">
        <f>'Resid Cust Fcst '!$AW12*'Resid TSM UC Adj'!S11</f>
        <v>0</v>
      </c>
      <c r="X11" s="23">
        <f>'Resid Cust Fcst '!$AW12*'Resid TSM UC Adj'!T11</f>
        <v>0</v>
      </c>
      <c r="Y11" s="45">
        <f>IF(SUM(V11:X11)=0,0,SUM(V11:X11)/'Resid Cust Fcst '!AW12)</f>
        <v>0</v>
      </c>
      <c r="Z11" s="137">
        <f t="shared" si="3"/>
        <v>49937.078310139696</v>
      </c>
      <c r="AA11" s="23">
        <f t="shared" si="1"/>
        <v>7908.0765326250257</v>
      </c>
      <c r="AB11" s="23">
        <f t="shared" si="1"/>
        <v>9111.0033891402709</v>
      </c>
      <c r="AC11" s="45">
        <f>IF(SUM(Z11:AB11)=0,0,SUM(Z11:AB11)/'Resid Cust Fcst '!AX12)</f>
        <v>1809.6258981595943</v>
      </c>
    </row>
    <row r="12" spans="1:29">
      <c r="A12" s="153" t="s">
        <v>8</v>
      </c>
      <c r="B12" s="137">
        <f>'Resid Cust Fcst '!$AR13*'Resid TSM UC Adj'!B12</f>
        <v>36250.431483660002</v>
      </c>
      <c r="C12" s="23">
        <f>'Resid Cust Fcst '!$AR13*'Resid TSM UC Adj'!C12</f>
        <v>12881.953830305731</v>
      </c>
      <c r="D12" s="23">
        <f>'Resid Cust Fcst '!$AR13*'Resid TSM UC Adj'!D12</f>
        <v>6156.0833710407242</v>
      </c>
      <c r="E12" s="45">
        <f>IF(SUM(B12:D12)=0,0,SUM(B12:D12)/'Resid Cust Fcst '!AR13)</f>
        <v>2211.5387474002582</v>
      </c>
      <c r="F12" s="137">
        <f>'Resid Cust Fcst '!$AS13*'Resid TSM UC Adj'!F12</f>
        <v>0</v>
      </c>
      <c r="G12" s="23">
        <f>'Resid Cust Fcst '!$AS13*'Resid TSM UC Adj'!G12</f>
        <v>0</v>
      </c>
      <c r="H12" s="23">
        <f>'Resid Cust Fcst '!$AS13*'Resid TSM UC Adj'!H12</f>
        <v>0</v>
      </c>
      <c r="I12" s="45">
        <f>IF(SUM(F12:H12)=0,0,SUM(F12:H12)/'Resid Cust Fcst '!AS13)</f>
        <v>0</v>
      </c>
      <c r="J12" s="137">
        <f>'Resid Cust Fcst '!$AT13*'Resid TSM UC Adj'!J12</f>
        <v>0</v>
      </c>
      <c r="K12" s="23">
        <f>'Resid Cust Fcst '!$AT13*'Resid TSM UC Adj'!K12</f>
        <v>0</v>
      </c>
      <c r="L12" s="23">
        <f>'Resid Cust Fcst '!$AT13*'Resid TSM UC Adj'!L12</f>
        <v>0</v>
      </c>
      <c r="M12" s="45">
        <f>IF(SUM(J12:L12)=0,0,SUM(J12:L12)/'Resid Cust Fcst '!AT13)</f>
        <v>0</v>
      </c>
      <c r="N12" s="137">
        <f>'Resid Cust Fcst '!$AU13*'Resid TSM UC Adj'!N12</f>
        <v>0</v>
      </c>
      <c r="O12" s="23">
        <f>'Resid Cust Fcst '!$AU13*'Resid TSM UC Adj'!O12</f>
        <v>0</v>
      </c>
      <c r="P12" s="23">
        <f>'Resid Cust Fcst '!$AU13*'Resid TSM UC Adj'!P12</f>
        <v>0</v>
      </c>
      <c r="Q12" s="45">
        <f>IF(SUM(N12:P12)=0,0,SUM(N12:P12)/'Resid Cust Fcst '!AU13)</f>
        <v>0</v>
      </c>
      <c r="R12" s="137">
        <f t="shared" si="2"/>
        <v>36250.431483660002</v>
      </c>
      <c r="S12" s="23">
        <f t="shared" si="0"/>
        <v>12881.953830305731</v>
      </c>
      <c r="T12" s="23">
        <f t="shared" si="0"/>
        <v>6156.0833710407242</v>
      </c>
      <c r="U12" s="45">
        <f>IF(SUM(R12:T12)=0,0,SUM(R12:T12)/'Resid Cust Fcst '!AV13)</f>
        <v>2211.5387474002582</v>
      </c>
      <c r="V12" s="137">
        <f>'Resid Cust Fcst '!$AW13*'Resid TSM UC Adj'!R12</f>
        <v>0</v>
      </c>
      <c r="W12" s="23">
        <f>'Resid Cust Fcst '!$AW13*'Resid TSM UC Adj'!S12</f>
        <v>0</v>
      </c>
      <c r="X12" s="23">
        <f>'Resid Cust Fcst '!$AW13*'Resid TSM UC Adj'!T12</f>
        <v>0</v>
      </c>
      <c r="Y12" s="45">
        <f>IF(SUM(V12:X12)=0,0,SUM(V12:X12)/'Resid Cust Fcst '!AW13)</f>
        <v>0</v>
      </c>
      <c r="Z12" s="137">
        <f t="shared" si="3"/>
        <v>36250.431483660002</v>
      </c>
      <c r="AA12" s="23">
        <f t="shared" si="1"/>
        <v>12881.953830305731</v>
      </c>
      <c r="AB12" s="23">
        <f t="shared" si="1"/>
        <v>6156.0833710407242</v>
      </c>
      <c r="AC12" s="45">
        <f>IF(SUM(Z12:AB12)=0,0,SUM(Z12:AB12)/'Resid Cust Fcst '!AX13)</f>
        <v>2211.5387474002582</v>
      </c>
    </row>
    <row r="13" spans="1:29">
      <c r="A13" s="153" t="s">
        <v>9</v>
      </c>
      <c r="B13" s="137">
        <f>'Resid Cust Fcst '!$AR14*'Resid TSM UC Adj'!B13</f>
        <v>10822.914899849959</v>
      </c>
      <c r="C13" s="23">
        <f>'Resid Cust Fcst '!$AR14*'Resid TSM UC Adj'!C13</f>
        <v>4150.8684259418942</v>
      </c>
      <c r="D13" s="23">
        <f>'Resid Cust Fcst '!$AR14*'Resid TSM UC Adj'!D13</f>
        <v>1231.2166742081447</v>
      </c>
      <c r="E13" s="45">
        <f>IF(SUM(B13:D13)=0,0,SUM(B13:D13)/'Resid Cust Fcst '!AR14)</f>
        <v>3240.9999999999995</v>
      </c>
      <c r="F13" s="137">
        <f>'Resid Cust Fcst '!$AS14*'Resid TSM UC Adj'!F13</f>
        <v>0</v>
      </c>
      <c r="G13" s="23">
        <f>'Resid Cust Fcst '!$AS14*'Resid TSM UC Adj'!G13</f>
        <v>0</v>
      </c>
      <c r="H13" s="23">
        <f>'Resid Cust Fcst '!$AS14*'Resid TSM UC Adj'!H13</f>
        <v>0</v>
      </c>
      <c r="I13" s="45">
        <f>IF(SUM(F13:H13)=0,0,SUM(F13:H13)/'Resid Cust Fcst '!AS14)</f>
        <v>0</v>
      </c>
      <c r="J13" s="137">
        <f>'Resid Cust Fcst '!$AT14*'Resid TSM UC Adj'!J13</f>
        <v>0</v>
      </c>
      <c r="K13" s="23">
        <f>'Resid Cust Fcst '!$AT14*'Resid TSM UC Adj'!K13</f>
        <v>0</v>
      </c>
      <c r="L13" s="23">
        <f>'Resid Cust Fcst '!$AT14*'Resid TSM UC Adj'!L13</f>
        <v>0</v>
      </c>
      <c r="M13" s="45">
        <f>IF(SUM(J13:L13)=0,0,SUM(J13:L13)/'Resid Cust Fcst '!AT14)</f>
        <v>0</v>
      </c>
      <c r="N13" s="137">
        <f>'Resid Cust Fcst '!$AU14*'Resid TSM UC Adj'!N13</f>
        <v>0</v>
      </c>
      <c r="O13" s="23">
        <f>'Resid Cust Fcst '!$AU14*'Resid TSM UC Adj'!O13</f>
        <v>0</v>
      </c>
      <c r="P13" s="23">
        <f>'Resid Cust Fcst '!$AU14*'Resid TSM UC Adj'!P13</f>
        <v>0</v>
      </c>
      <c r="Q13" s="45">
        <f>IF(SUM(N13:P13)=0,0,SUM(N13:P13)/'Resid Cust Fcst '!AU14)</f>
        <v>0</v>
      </c>
      <c r="R13" s="137">
        <f t="shared" si="2"/>
        <v>10822.914899849959</v>
      </c>
      <c r="S13" s="23">
        <f t="shared" si="0"/>
        <v>4150.8684259418942</v>
      </c>
      <c r="T13" s="23">
        <f t="shared" si="0"/>
        <v>1231.2166742081447</v>
      </c>
      <c r="U13" s="45">
        <f>IF(SUM(R13:T13)=0,0,SUM(R13:T13)/'Resid Cust Fcst '!AV14)</f>
        <v>3240.9999999999995</v>
      </c>
      <c r="V13" s="137">
        <f>'Resid Cust Fcst '!$AW14*'Resid TSM UC Adj'!R13</f>
        <v>0</v>
      </c>
      <c r="W13" s="23">
        <f>'Resid Cust Fcst '!$AW14*'Resid TSM UC Adj'!S13</f>
        <v>0</v>
      </c>
      <c r="X13" s="23">
        <f>'Resid Cust Fcst '!$AW14*'Resid TSM UC Adj'!T13</f>
        <v>0</v>
      </c>
      <c r="Y13" s="45">
        <f>IF(SUM(V13:X13)=0,0,SUM(V13:X13)/'Resid Cust Fcst '!AW14)</f>
        <v>0</v>
      </c>
      <c r="Z13" s="137">
        <f t="shared" si="3"/>
        <v>10822.914899849959</v>
      </c>
      <c r="AA13" s="23">
        <f t="shared" si="1"/>
        <v>4150.8684259418942</v>
      </c>
      <c r="AB13" s="23">
        <f t="shared" si="1"/>
        <v>1231.2166742081447</v>
      </c>
      <c r="AC13" s="45">
        <f>IF(SUM(Z13:AB13)=0,0,SUM(Z13:AB13)/'Resid Cust Fcst '!AX14)</f>
        <v>3240.9999999999995</v>
      </c>
    </row>
    <row r="14" spans="1:29">
      <c r="A14" s="153" t="s">
        <v>10</v>
      </c>
      <c r="B14" s="137">
        <f>'Resid Cust Fcst '!$AR15*'Resid TSM UC Adj'!B14</f>
        <v>0</v>
      </c>
      <c r="C14" s="23">
        <f>'Resid Cust Fcst '!$AR15*'Resid TSM UC Adj'!C14</f>
        <v>0</v>
      </c>
      <c r="D14" s="23">
        <f>'Resid Cust Fcst '!$AR15*'Resid TSM UC Adj'!D14</f>
        <v>0</v>
      </c>
      <c r="E14" s="45">
        <f>IF(SUM(B14:D14)=0,0,SUM(B14:D14)/'Resid Cust Fcst '!AR15)</f>
        <v>0</v>
      </c>
      <c r="F14" s="137">
        <f>'Resid Cust Fcst '!$AS15*'Resid TSM UC Adj'!F14</f>
        <v>0</v>
      </c>
      <c r="G14" s="23">
        <f>'Resid Cust Fcst '!$AS15*'Resid TSM UC Adj'!G14</f>
        <v>0</v>
      </c>
      <c r="H14" s="23">
        <f>'Resid Cust Fcst '!$AS15*'Resid TSM UC Adj'!H14</f>
        <v>0</v>
      </c>
      <c r="I14" s="45">
        <f>IF(SUM(F14:H14)=0,0,SUM(F14:H14)/'Resid Cust Fcst '!AS15)</f>
        <v>0</v>
      </c>
      <c r="J14" s="137">
        <f>'Resid Cust Fcst '!$AT15*'Resid TSM UC Adj'!J14</f>
        <v>0</v>
      </c>
      <c r="K14" s="23">
        <f>'Resid Cust Fcst '!$AT15*'Resid TSM UC Adj'!K14</f>
        <v>0</v>
      </c>
      <c r="L14" s="23">
        <f>'Resid Cust Fcst '!$AT15*'Resid TSM UC Adj'!L14</f>
        <v>0</v>
      </c>
      <c r="M14" s="45">
        <f>IF(SUM(J14:L14)=0,0,SUM(J14:L14)/'Resid Cust Fcst '!AT15)</f>
        <v>0</v>
      </c>
      <c r="N14" s="137">
        <f>'Resid Cust Fcst '!$AU15*'Resid TSM UC Adj'!N14</f>
        <v>0</v>
      </c>
      <c r="O14" s="23">
        <f>'Resid Cust Fcst '!$AU15*'Resid TSM UC Adj'!O14</f>
        <v>0</v>
      </c>
      <c r="P14" s="23">
        <f>'Resid Cust Fcst '!$AU15*'Resid TSM UC Adj'!P14</f>
        <v>0</v>
      </c>
      <c r="Q14" s="45">
        <f>IF(SUM(N14:P14)=0,0,SUM(N14:P14)/'Resid Cust Fcst '!AU15)</f>
        <v>0</v>
      </c>
      <c r="R14" s="137">
        <f t="shared" si="2"/>
        <v>0</v>
      </c>
      <c r="S14" s="23">
        <f t="shared" si="0"/>
        <v>0</v>
      </c>
      <c r="T14" s="23">
        <f t="shared" si="0"/>
        <v>0</v>
      </c>
      <c r="U14" s="45">
        <f>IF(SUM(R14:T14)=0,0,SUM(R14:T14)/'Resid Cust Fcst '!AV15)</f>
        <v>0</v>
      </c>
      <c r="V14" s="137">
        <f>'Resid Cust Fcst '!$AW15*'Resid TSM UC Adj'!R14</f>
        <v>0</v>
      </c>
      <c r="W14" s="23">
        <f>'Resid Cust Fcst '!$AW15*'Resid TSM UC Adj'!S14</f>
        <v>0</v>
      </c>
      <c r="X14" s="23">
        <f>'Resid Cust Fcst '!$AW15*'Resid TSM UC Adj'!T14</f>
        <v>0</v>
      </c>
      <c r="Y14" s="45">
        <f>IF(SUM(V14:X14)=0,0,SUM(V14:X14)/'Resid Cust Fcst '!AW15)</f>
        <v>0</v>
      </c>
      <c r="Z14" s="137">
        <f t="shared" si="3"/>
        <v>0</v>
      </c>
      <c r="AA14" s="23">
        <f t="shared" si="1"/>
        <v>0</v>
      </c>
      <c r="AB14" s="23">
        <f t="shared" si="1"/>
        <v>0</v>
      </c>
      <c r="AC14" s="45">
        <f>IF(SUM(Z14:AB14)=0,0,SUM(Z14:AB14)/'Resid Cust Fcst '!AX15)</f>
        <v>0</v>
      </c>
    </row>
    <row r="15" spans="1:29">
      <c r="A15" s="153" t="s">
        <v>11</v>
      </c>
      <c r="B15" s="137">
        <f>'Resid Cust Fcst '!$AR16*'Resid TSM UC Adj'!B15</f>
        <v>0</v>
      </c>
      <c r="C15" s="23">
        <f>'Resid Cust Fcst '!$AR16*'Resid TSM UC Adj'!C15</f>
        <v>0</v>
      </c>
      <c r="D15" s="23">
        <f>'Resid Cust Fcst '!$AR16*'Resid TSM UC Adj'!D15</f>
        <v>0</v>
      </c>
      <c r="E15" s="45">
        <f>IF(SUM(B15:D15)=0,0,SUM(B15:D15)/'Resid Cust Fcst '!AR16)</f>
        <v>0</v>
      </c>
      <c r="F15" s="137">
        <f>'Resid Cust Fcst '!$AS16*'Resid TSM UC Adj'!F15</f>
        <v>0</v>
      </c>
      <c r="G15" s="23">
        <f>'Resid Cust Fcst '!$AS16*'Resid TSM UC Adj'!G15</f>
        <v>0</v>
      </c>
      <c r="H15" s="23">
        <f>'Resid Cust Fcst '!$AS16*'Resid TSM UC Adj'!H15</f>
        <v>0</v>
      </c>
      <c r="I15" s="45">
        <f>IF(SUM(F15:H15)=0,0,SUM(F15:H15)/'Resid Cust Fcst '!AS16)</f>
        <v>0</v>
      </c>
      <c r="J15" s="137">
        <f>'Resid Cust Fcst '!$AT16*'Resid TSM UC Adj'!J15</f>
        <v>0</v>
      </c>
      <c r="K15" s="23">
        <f>'Resid Cust Fcst '!$AT16*'Resid TSM UC Adj'!K15</f>
        <v>0</v>
      </c>
      <c r="L15" s="23">
        <f>'Resid Cust Fcst '!$AT16*'Resid TSM UC Adj'!L15</f>
        <v>0</v>
      </c>
      <c r="M15" s="45">
        <f>IF(SUM(J15:L15)=0,0,SUM(J15:L15)/'Resid Cust Fcst '!AT16)</f>
        <v>0</v>
      </c>
      <c r="N15" s="137">
        <f>'Resid Cust Fcst '!$AU16*'Resid TSM UC Adj'!N15</f>
        <v>0</v>
      </c>
      <c r="O15" s="23">
        <f>'Resid Cust Fcst '!$AU16*'Resid TSM UC Adj'!O15</f>
        <v>0</v>
      </c>
      <c r="P15" s="23">
        <f>'Resid Cust Fcst '!$AU16*'Resid TSM UC Adj'!P15</f>
        <v>0</v>
      </c>
      <c r="Q15" s="45">
        <f>IF(SUM(N15:P15)=0,0,SUM(N15:P15)/'Resid Cust Fcst '!AU16)</f>
        <v>0</v>
      </c>
      <c r="R15" s="137">
        <f t="shared" si="2"/>
        <v>0</v>
      </c>
      <c r="S15" s="23">
        <f t="shared" si="0"/>
        <v>0</v>
      </c>
      <c r="T15" s="23">
        <f t="shared" si="0"/>
        <v>0</v>
      </c>
      <c r="U15" s="45">
        <f>IF(SUM(R15:T15)=0,0,SUM(R15:T15)/'Resid Cust Fcst '!AV16)</f>
        <v>0</v>
      </c>
      <c r="V15" s="137">
        <f>'Resid Cust Fcst '!$AW16*'Resid TSM UC Adj'!R15</f>
        <v>0</v>
      </c>
      <c r="W15" s="23">
        <f>'Resid Cust Fcst '!$AW16*'Resid TSM UC Adj'!S15</f>
        <v>0</v>
      </c>
      <c r="X15" s="23">
        <f>'Resid Cust Fcst '!$AW16*'Resid TSM UC Adj'!T15</f>
        <v>0</v>
      </c>
      <c r="Y15" s="45">
        <f>IF(SUM(V15:X15)=0,0,SUM(V15:X15)/'Resid Cust Fcst '!AW16)</f>
        <v>0</v>
      </c>
      <c r="Z15" s="137">
        <f t="shared" si="3"/>
        <v>0</v>
      </c>
      <c r="AA15" s="23">
        <f t="shared" si="1"/>
        <v>0</v>
      </c>
      <c r="AB15" s="23">
        <f t="shared" si="1"/>
        <v>0</v>
      </c>
      <c r="AC15" s="45">
        <f>IF(SUM(Z15:AB15)=0,0,SUM(Z15:AB15)/'Resid Cust Fcst '!AX16)</f>
        <v>0</v>
      </c>
    </row>
    <row r="16" spans="1:29">
      <c r="A16" s="153" t="s">
        <v>120</v>
      </c>
      <c r="B16" s="137">
        <f>'Resid Cust Fcst '!$AR17*'Resid TSM UC Adj'!B16</f>
        <v>668.04310959323448</v>
      </c>
      <c r="C16" s="23">
        <f>'Resid Cust Fcst '!$AR17*'Resid TSM UC Adj'!C16</f>
        <v>2326.7135555651362</v>
      </c>
      <c r="D16" s="23">
        <f>'Resid Cust Fcst '!$AR17*'Resid TSM UC Adj'!D16</f>
        <v>246.24333484162895</v>
      </c>
      <c r="E16" s="45">
        <f>IF(SUM(B16:D16)=0,0,SUM(B16:D16)/'Resid Cust Fcst '!AR17)</f>
        <v>3240.9999999999995</v>
      </c>
      <c r="F16" s="137">
        <f>'Resid Cust Fcst '!$AS17*'Resid TSM UC Adj'!F16</f>
        <v>0</v>
      </c>
      <c r="G16" s="23">
        <f>'Resid Cust Fcst '!$AS17*'Resid TSM UC Adj'!G16</f>
        <v>0</v>
      </c>
      <c r="H16" s="23">
        <f>'Resid Cust Fcst '!$AS17*'Resid TSM UC Adj'!H16</f>
        <v>0</v>
      </c>
      <c r="I16" s="45">
        <f>IF(SUM(F16:H16)=0,0,SUM(F16:H16)/'Resid Cust Fcst '!AS17)</f>
        <v>0</v>
      </c>
      <c r="J16" s="137">
        <f>'Resid Cust Fcst '!$AT17*'Resid TSM UC Adj'!J16</f>
        <v>0</v>
      </c>
      <c r="K16" s="23">
        <f>'Resid Cust Fcst '!$AT17*'Resid TSM UC Adj'!K16</f>
        <v>0</v>
      </c>
      <c r="L16" s="23">
        <f>'Resid Cust Fcst '!$AT17*'Resid TSM UC Adj'!L16</f>
        <v>0</v>
      </c>
      <c r="M16" s="45">
        <f>IF(SUM(J16:L16)=0,0,SUM(J16:L16)/'Resid Cust Fcst '!AT17)</f>
        <v>0</v>
      </c>
      <c r="N16" s="137">
        <f>'Resid Cust Fcst '!$AU17*'Resid TSM UC Adj'!N16</f>
        <v>0</v>
      </c>
      <c r="O16" s="23">
        <f>'Resid Cust Fcst '!$AU17*'Resid TSM UC Adj'!O16</f>
        <v>0</v>
      </c>
      <c r="P16" s="23">
        <f>'Resid Cust Fcst '!$AU17*'Resid TSM UC Adj'!P16</f>
        <v>0</v>
      </c>
      <c r="Q16" s="45">
        <f>IF(SUM(N16:P16)=0,0,SUM(N16:P16)/'Resid Cust Fcst '!AU17)</f>
        <v>0</v>
      </c>
      <c r="R16" s="137">
        <f t="shared" si="2"/>
        <v>668.04310959323448</v>
      </c>
      <c r="S16" s="23">
        <f t="shared" si="0"/>
        <v>2326.7135555651362</v>
      </c>
      <c r="T16" s="23">
        <f t="shared" si="0"/>
        <v>246.24333484162895</v>
      </c>
      <c r="U16" s="45">
        <f>IF(SUM(R16:T16)=0,0,SUM(R16:T16)/'Resid Cust Fcst '!AV17)</f>
        <v>3240.9999999999995</v>
      </c>
      <c r="V16" s="137">
        <f>'Resid Cust Fcst '!$AW17*'Resid TSM UC Adj'!R16</f>
        <v>0</v>
      </c>
      <c r="W16" s="23">
        <f>'Resid Cust Fcst '!$AW17*'Resid TSM UC Adj'!S16</f>
        <v>0</v>
      </c>
      <c r="X16" s="23">
        <f>'Resid Cust Fcst '!$AW17*'Resid TSM UC Adj'!T16</f>
        <v>0</v>
      </c>
      <c r="Y16" s="45">
        <f>IF(SUM(V16:X16)=0,0,SUM(V16:X16)/'Resid Cust Fcst '!AW17)</f>
        <v>0</v>
      </c>
      <c r="Z16" s="137">
        <f t="shared" si="3"/>
        <v>668.04310959323448</v>
      </c>
      <c r="AA16" s="23">
        <f t="shared" si="1"/>
        <v>2326.7135555651362</v>
      </c>
      <c r="AB16" s="23">
        <f t="shared" si="1"/>
        <v>246.24333484162895</v>
      </c>
      <c r="AC16" s="45">
        <f>IF(SUM(Z16:AB16)=0,0,SUM(Z16:AB16)/'Resid Cust Fcst '!AX17)</f>
        <v>3240.9999999999995</v>
      </c>
    </row>
    <row r="17" spans="1:29">
      <c r="A17" s="153" t="s">
        <v>121</v>
      </c>
      <c r="B17" s="137">
        <f>'Resid Cust Fcst '!$AR18*'Resid TSM UC Adj'!J17</f>
        <v>0</v>
      </c>
      <c r="C17" s="23">
        <f>'Resid Cust Fcst '!$AR18*'Resid TSM UC Adj'!K17</f>
        <v>0</v>
      </c>
      <c r="D17" s="23">
        <f>'Resid Cust Fcst '!$AR18*'Resid TSM UC Adj'!L17</f>
        <v>0</v>
      </c>
      <c r="E17" s="45">
        <f>IF(SUM(B17:D17)=0,0,SUM(B17:D17)/'Resid Cust Fcst '!AR18)</f>
        <v>0</v>
      </c>
      <c r="F17" s="137">
        <f>'Resid Cust Fcst '!$AS18*'Resid TSM UC Adj'!F17</f>
        <v>0</v>
      </c>
      <c r="G17" s="23">
        <f>'Resid Cust Fcst '!$AS18*'Resid TSM UC Adj'!G17</f>
        <v>0</v>
      </c>
      <c r="H17" s="23">
        <f>'Resid Cust Fcst '!$AS18*'Resid TSM UC Adj'!H17</f>
        <v>0</v>
      </c>
      <c r="I17" s="45">
        <f>IF(SUM(F17:H17)=0,0,SUM(F17:H17)/'Resid Cust Fcst '!AS18)</f>
        <v>0</v>
      </c>
      <c r="J17" s="137">
        <f>'Resid Cust Fcst '!$AT18*'Resid TSM UC Adj'!J17</f>
        <v>0</v>
      </c>
      <c r="K17" s="23">
        <f>'Resid Cust Fcst '!$AT18*'Resid TSM UC Adj'!K17</f>
        <v>0</v>
      </c>
      <c r="L17" s="23">
        <f>'Resid Cust Fcst '!$AT18*'Resid TSM UC Adj'!L17</f>
        <v>0</v>
      </c>
      <c r="M17" s="45">
        <f>IF(SUM(J17:L17)=0,0,SUM(J17:L17)/'Resid Cust Fcst '!AT18)</f>
        <v>0</v>
      </c>
      <c r="N17" s="137">
        <f>'Resid Cust Fcst '!$AU18*'Resid TSM UC Adj'!N17</f>
        <v>0</v>
      </c>
      <c r="O17" s="23">
        <f>'Resid Cust Fcst '!$AU18*'Resid TSM UC Adj'!O17</f>
        <v>0</v>
      </c>
      <c r="P17" s="23">
        <f>'Resid Cust Fcst '!$AU18*'Resid TSM UC Adj'!P17</f>
        <v>0</v>
      </c>
      <c r="Q17" s="45">
        <f>IF(SUM(N17:P17)=0,0,SUM(N17:P17)/'Resid Cust Fcst '!AU18)</f>
        <v>0</v>
      </c>
      <c r="R17" s="137">
        <f t="shared" si="2"/>
        <v>0</v>
      </c>
      <c r="S17" s="23">
        <f t="shared" si="0"/>
        <v>0</v>
      </c>
      <c r="T17" s="23">
        <f t="shared" si="0"/>
        <v>0</v>
      </c>
      <c r="U17" s="45">
        <f>IF(SUM(R17:T17)=0,0,SUM(R17:T17)/'Resid Cust Fcst '!AV18)</f>
        <v>0</v>
      </c>
      <c r="V17" s="137">
        <f>'Resid Cust Fcst '!$AW18*'Resid TSM UC Adj'!R17</f>
        <v>0</v>
      </c>
      <c r="W17" s="23">
        <f>'Resid Cust Fcst '!$AW18*'Resid TSM UC Adj'!S17</f>
        <v>0</v>
      </c>
      <c r="X17" s="23">
        <f>'Resid Cust Fcst '!$AW18*'Resid TSM UC Adj'!T17</f>
        <v>0</v>
      </c>
      <c r="Y17" s="45">
        <f>IF(SUM(V17:X17)=0,0,SUM(V17:X17)/'Resid Cust Fcst '!AW18)</f>
        <v>0</v>
      </c>
      <c r="Z17" s="137">
        <f t="shared" si="3"/>
        <v>0</v>
      </c>
      <c r="AA17" s="23">
        <f t="shared" si="1"/>
        <v>0</v>
      </c>
      <c r="AB17" s="23">
        <f t="shared" si="1"/>
        <v>0</v>
      </c>
      <c r="AC17" s="45">
        <f>IF(SUM(Z17:AB17)=0,0,SUM(Z17:AB17)/'Resid Cust Fcst '!AX18)</f>
        <v>0</v>
      </c>
    </row>
    <row r="18" spans="1:29">
      <c r="A18" s="153" t="s">
        <v>12</v>
      </c>
      <c r="B18" s="137">
        <f>'Resid Cust Fcst '!$AR19*'Resid TSM UC Adj'!J18</f>
        <v>0</v>
      </c>
      <c r="C18" s="23">
        <f>'Resid Cust Fcst '!$AR19*'Resid TSM UC Adj'!K18</f>
        <v>0</v>
      </c>
      <c r="D18" s="23">
        <f>'Resid Cust Fcst '!$AR19*'Resid TSM UC Adj'!L18</f>
        <v>0</v>
      </c>
      <c r="E18" s="45">
        <f>IF(SUM(B18:D18)=0,0,SUM(B18:D18)/'Resid Cust Fcst '!AR19)</f>
        <v>0</v>
      </c>
      <c r="F18" s="137">
        <f>'Resid Cust Fcst '!$AS19*'Resid TSM UC Adj'!J18</f>
        <v>0</v>
      </c>
      <c r="G18" s="23">
        <f>'Resid Cust Fcst '!$AS19*'Resid TSM UC Adj'!K18</f>
        <v>0</v>
      </c>
      <c r="H18" s="23">
        <f>'Resid Cust Fcst '!$AS19*'Resid TSM UC Adj'!L18</f>
        <v>0</v>
      </c>
      <c r="I18" s="45">
        <f>IF(SUM(F18:H18)=0,0,SUM(F18:H18)/'Resid Cust Fcst '!AS19)</f>
        <v>0</v>
      </c>
      <c r="J18" s="137">
        <f>'Resid Cust Fcst '!$AT19*'Resid TSM UC Adj'!J18</f>
        <v>0</v>
      </c>
      <c r="K18" s="23">
        <f>'Resid Cust Fcst '!$AT19*'Resid TSM UC Adj'!K18</f>
        <v>0</v>
      </c>
      <c r="L18" s="23">
        <f>'Resid Cust Fcst '!$AT19*'Resid TSM UC Adj'!L18</f>
        <v>0</v>
      </c>
      <c r="M18" s="45">
        <f>IF(SUM(J18:L18)=0,0,SUM(J18:L18)/'Resid Cust Fcst '!AT19)</f>
        <v>0</v>
      </c>
      <c r="N18" s="137">
        <f>'Resid Cust Fcst '!$AU19*'Resid TSM UC Adj'!N18</f>
        <v>0</v>
      </c>
      <c r="O18" s="23">
        <f>'Resid Cust Fcst '!$AU19*'Resid TSM UC Adj'!O18</f>
        <v>0</v>
      </c>
      <c r="P18" s="23">
        <f>'Resid Cust Fcst '!$AU19*'Resid TSM UC Adj'!P18</f>
        <v>0</v>
      </c>
      <c r="Q18" s="45">
        <f>IF(SUM(N18:P18)=0,0,SUM(N18:P18)/'Resid Cust Fcst '!AU19)</f>
        <v>0</v>
      </c>
      <c r="R18" s="137">
        <f t="shared" si="2"/>
        <v>0</v>
      </c>
      <c r="S18" s="23">
        <f t="shared" si="0"/>
        <v>0</v>
      </c>
      <c r="T18" s="23">
        <f t="shared" si="0"/>
        <v>0</v>
      </c>
      <c r="U18" s="45">
        <f>IF(SUM(R18:T18)=0,0,SUM(R18:T18)/'Resid Cust Fcst '!AV19)</f>
        <v>0</v>
      </c>
      <c r="V18" s="137">
        <f>'Resid Cust Fcst '!$AW19*'Resid TSM UC Adj'!R18</f>
        <v>0</v>
      </c>
      <c r="W18" s="23">
        <f>'Resid Cust Fcst '!$AW19*'Resid TSM UC Adj'!S18</f>
        <v>0</v>
      </c>
      <c r="X18" s="23">
        <f>'Resid Cust Fcst '!$AW19*'Resid TSM UC Adj'!T18</f>
        <v>0</v>
      </c>
      <c r="Y18" s="45">
        <f>IF(SUM(V18:X18)=0,0,SUM(V18:X18)/'Resid Cust Fcst '!AW19)</f>
        <v>0</v>
      </c>
      <c r="Z18" s="137">
        <f t="shared" si="3"/>
        <v>0</v>
      </c>
      <c r="AA18" s="23">
        <f t="shared" si="1"/>
        <v>0</v>
      </c>
      <c r="AB18" s="23">
        <f t="shared" si="1"/>
        <v>0</v>
      </c>
      <c r="AC18" s="45">
        <f>IF(SUM(Z18:AB18)=0,0,SUM(Z18:AB18)/'Resid Cust Fcst '!AX19)</f>
        <v>0</v>
      </c>
    </row>
    <row r="19" spans="1:29" s="58" customFormat="1">
      <c r="A19" s="134" t="s">
        <v>13</v>
      </c>
      <c r="B19" s="137">
        <f>'Resid Cust Fcst '!$AR20*'Resid TSM UC Adj'!J19</f>
        <v>0</v>
      </c>
      <c r="C19" s="23">
        <f>'Resid Cust Fcst '!$AR20*'Resid TSM UC Adj'!K19</f>
        <v>0</v>
      </c>
      <c r="D19" s="23">
        <f>'Resid Cust Fcst '!$AR20*'Resid TSM UC Adj'!L19</f>
        <v>0</v>
      </c>
      <c r="E19" s="45">
        <f>IF(SUM(B19:D19)=0,0,SUM(B19:D19)/'Resid Cust Fcst '!AR20)</f>
        <v>0</v>
      </c>
      <c r="F19" s="137">
        <f>'Resid Cust Fcst '!$AS20*'Resid TSM UC Adj'!J19</f>
        <v>0</v>
      </c>
      <c r="G19" s="23">
        <f>'Resid Cust Fcst '!$AS20*'Resid TSM UC Adj'!K19</f>
        <v>0</v>
      </c>
      <c r="H19" s="23">
        <f>'Resid Cust Fcst '!$AS20*'Resid TSM UC Adj'!L19</f>
        <v>0</v>
      </c>
      <c r="I19" s="45">
        <f>IF(SUM(F19:H19)=0,0,SUM(F19:H19)/'Resid Cust Fcst '!AS20)</f>
        <v>0</v>
      </c>
      <c r="J19" s="137">
        <f>'Resid Cust Fcst '!$AT20*'Resid TSM UC Adj'!J19</f>
        <v>0</v>
      </c>
      <c r="K19" s="23">
        <f>'Resid Cust Fcst '!$AT20*'Resid TSM UC Adj'!K19</f>
        <v>0</v>
      </c>
      <c r="L19" s="23">
        <f>'Resid Cust Fcst '!$AT20*'Resid TSM UC Adj'!L19</f>
        <v>0</v>
      </c>
      <c r="M19" s="45">
        <f>IF(SUM(J19:L19)=0,0,SUM(J19:L19)/'Resid Cust Fcst '!AT20)</f>
        <v>0</v>
      </c>
      <c r="N19" s="137">
        <f>'Resid Cust Fcst '!$AU20*'Resid TSM UC Adj'!N19</f>
        <v>0</v>
      </c>
      <c r="O19" s="23">
        <f>'Resid Cust Fcst '!$AU20*'Resid TSM UC Adj'!O19</f>
        <v>0</v>
      </c>
      <c r="P19" s="23">
        <f>'Resid Cust Fcst '!$AU20*'Resid TSM UC Adj'!P19</f>
        <v>0</v>
      </c>
      <c r="Q19" s="45">
        <f>IF(SUM(N19:P19)=0,0,SUM(N19:P19)/'Resid Cust Fcst '!AU20)</f>
        <v>0</v>
      </c>
      <c r="R19" s="137">
        <f t="shared" si="2"/>
        <v>0</v>
      </c>
      <c r="S19" s="23">
        <f t="shared" si="0"/>
        <v>0</v>
      </c>
      <c r="T19" s="23">
        <f t="shared" si="0"/>
        <v>0</v>
      </c>
      <c r="U19" s="45">
        <f>IF(SUM(R19:T19)=0,0,SUM(R19:T19)/'Resid Cust Fcst '!AV20)</f>
        <v>0</v>
      </c>
      <c r="V19" s="137">
        <f>'Resid Cust Fcst '!$AW20*'Resid TSM UC Adj'!R19</f>
        <v>0</v>
      </c>
      <c r="W19" s="23">
        <f>'Resid Cust Fcst '!$AW20*'Resid TSM UC Adj'!S19</f>
        <v>0</v>
      </c>
      <c r="X19" s="23">
        <f>'Resid Cust Fcst '!$AW20*'Resid TSM UC Adj'!T19</f>
        <v>0</v>
      </c>
      <c r="Y19" s="45">
        <f>IF(SUM(V19:X19)=0,0,SUM(V19:X19)/'Resid Cust Fcst '!AW20)</f>
        <v>0</v>
      </c>
      <c r="Z19" s="137">
        <f t="shared" si="3"/>
        <v>0</v>
      </c>
      <c r="AA19" s="23">
        <f t="shared" si="1"/>
        <v>0</v>
      </c>
      <c r="AB19" s="23">
        <f t="shared" si="1"/>
        <v>0</v>
      </c>
      <c r="AC19" s="45">
        <f>IF(SUM(Z19:AB19)=0,0,SUM(Z19:AB19)/'Resid Cust Fcst '!AX20)</f>
        <v>0</v>
      </c>
    </row>
    <row r="20" spans="1:29">
      <c r="A20" s="153" t="s">
        <v>122</v>
      </c>
      <c r="B20" s="137">
        <f>'Resid Cust Fcst '!$AR21*'Resid TSM UC Adj'!J20</f>
        <v>0</v>
      </c>
      <c r="C20" s="23">
        <f>'Resid Cust Fcst '!$AR21*'Resid TSM UC Adj'!K20</f>
        <v>0</v>
      </c>
      <c r="D20" s="23">
        <f>'Resid Cust Fcst '!$AR21*'Resid TSM UC Adj'!L20</f>
        <v>0</v>
      </c>
      <c r="E20" s="45">
        <f>IF(SUM(B20:D20)=0,0,SUM(B20:D20)/'Resid Cust Fcst '!AR21)</f>
        <v>0</v>
      </c>
      <c r="F20" s="137">
        <f>'Resid Cust Fcst '!$AS21*'Resid TSM UC Adj'!J20</f>
        <v>0</v>
      </c>
      <c r="G20" s="23">
        <f>'Resid Cust Fcst '!$AS21*'Resid TSM UC Adj'!K20</f>
        <v>0</v>
      </c>
      <c r="H20" s="23">
        <f>'Resid Cust Fcst '!$AS21*'Resid TSM UC Adj'!L20</f>
        <v>0</v>
      </c>
      <c r="I20" s="45">
        <f>IF(SUM(F20:H20)=0,0,SUM(F20:H20)/'Resid Cust Fcst '!AS21)</f>
        <v>0</v>
      </c>
      <c r="J20" s="137">
        <f>'Resid Cust Fcst '!$AT21*'Resid TSM UC Adj'!J20</f>
        <v>0</v>
      </c>
      <c r="K20" s="23">
        <f>'Resid Cust Fcst '!$AT21*'Resid TSM UC Adj'!K20</f>
        <v>0</v>
      </c>
      <c r="L20" s="23">
        <f>'Resid Cust Fcst '!$AT21*'Resid TSM UC Adj'!L20</f>
        <v>0</v>
      </c>
      <c r="M20" s="45">
        <f>IF(SUM(J20:L20)=0,0,SUM(J20:L20)/'Resid Cust Fcst '!AT21)</f>
        <v>0</v>
      </c>
      <c r="N20" s="137">
        <f>'Resid Cust Fcst '!$AU21*'Resid TSM UC Adj'!N20</f>
        <v>0</v>
      </c>
      <c r="O20" s="23">
        <f>'Resid Cust Fcst '!$AU21*'Resid TSM UC Adj'!O20</f>
        <v>0</v>
      </c>
      <c r="P20" s="23">
        <f>'Resid Cust Fcst '!$AU21*'Resid TSM UC Adj'!P20</f>
        <v>0</v>
      </c>
      <c r="Q20" s="45">
        <f>IF(SUM(N20:P20)=0,0,SUM(N20:P20)/'Resid Cust Fcst '!AU21)</f>
        <v>0</v>
      </c>
      <c r="R20" s="137">
        <f t="shared" si="2"/>
        <v>0</v>
      </c>
      <c r="S20" s="23">
        <f t="shared" si="0"/>
        <v>0</v>
      </c>
      <c r="T20" s="23">
        <f t="shared" si="0"/>
        <v>0</v>
      </c>
      <c r="U20" s="45">
        <f>IF(SUM(R20:T20)=0,0,SUM(R20:T20)/'Resid Cust Fcst '!AV21)</f>
        <v>0</v>
      </c>
      <c r="V20" s="137">
        <f>'Resid Cust Fcst '!$AW21*'Resid TSM UC Adj'!R20</f>
        <v>0</v>
      </c>
      <c r="W20" s="23">
        <f>'Resid Cust Fcst '!$AW21*'Resid TSM UC Adj'!S20</f>
        <v>0</v>
      </c>
      <c r="X20" s="23">
        <f>'Resid Cust Fcst '!$AW21*'Resid TSM UC Adj'!T20</f>
        <v>0</v>
      </c>
      <c r="Y20" s="45">
        <f>IF(SUM(V20:X20)=0,0,SUM(V20:X20)/'Resid Cust Fcst '!AW21)</f>
        <v>0</v>
      </c>
      <c r="Z20" s="137">
        <f t="shared" si="3"/>
        <v>0</v>
      </c>
      <c r="AA20" s="23">
        <f t="shared" si="1"/>
        <v>0</v>
      </c>
      <c r="AB20" s="23">
        <f t="shared" si="1"/>
        <v>0</v>
      </c>
      <c r="AC20" s="45">
        <f>IF(SUM(Z20:AB20)=0,0,SUM(Z20:AB20)/'Resid Cust Fcst '!AX21)</f>
        <v>0</v>
      </c>
    </row>
    <row r="21" spans="1:29">
      <c r="A21" s="153" t="s">
        <v>123</v>
      </c>
      <c r="B21" s="137">
        <f>'Resid Cust Fcst '!$AR22*'Resid TSM UC Adj'!J21</f>
        <v>0</v>
      </c>
      <c r="C21" s="23">
        <f>'Resid Cust Fcst '!$AR22*'Resid TSM UC Adj'!K21</f>
        <v>0</v>
      </c>
      <c r="D21" s="23">
        <f>'Resid Cust Fcst '!$AR22*'Resid TSM UC Adj'!L21</f>
        <v>0</v>
      </c>
      <c r="E21" s="45">
        <f>IF(SUM(B21:D21)=0,0,SUM(B21:D21)/'Resid Cust Fcst '!AR22)</f>
        <v>0</v>
      </c>
      <c r="F21" s="137">
        <f>'Resid Cust Fcst '!$AS22*'Resid TSM UC Adj'!J21</f>
        <v>0</v>
      </c>
      <c r="G21" s="23">
        <f>'Resid Cust Fcst '!$AS22*'Resid TSM UC Adj'!K21</f>
        <v>0</v>
      </c>
      <c r="H21" s="23">
        <f>'Resid Cust Fcst '!$AS22*'Resid TSM UC Adj'!L21</f>
        <v>0</v>
      </c>
      <c r="I21" s="45">
        <f>IF(SUM(F21:H21)=0,0,SUM(F21:H21)/'Resid Cust Fcst '!AS22)</f>
        <v>0</v>
      </c>
      <c r="J21" s="137">
        <f>'Resid Cust Fcst '!$AT22*'Resid TSM UC Adj'!J21</f>
        <v>0</v>
      </c>
      <c r="K21" s="23">
        <f>'Resid Cust Fcst '!$AT22*'Resid TSM UC Adj'!K21</f>
        <v>0</v>
      </c>
      <c r="L21" s="23">
        <f>'Resid Cust Fcst '!$AT22*'Resid TSM UC Adj'!L21</f>
        <v>0</v>
      </c>
      <c r="M21" s="45">
        <f>IF(SUM(J21:L21)=0,0,SUM(J21:L21)/'Resid Cust Fcst '!AT22)</f>
        <v>0</v>
      </c>
      <c r="N21" s="137">
        <f>'Resid Cust Fcst '!$AU22*'Resid TSM UC Adj'!N21</f>
        <v>0</v>
      </c>
      <c r="O21" s="23">
        <f>'Resid Cust Fcst '!$AU22*'Resid TSM UC Adj'!O21</f>
        <v>0</v>
      </c>
      <c r="P21" s="23">
        <f>'Resid Cust Fcst '!$AU22*'Resid TSM UC Adj'!P21</f>
        <v>0</v>
      </c>
      <c r="Q21" s="45">
        <f>IF(SUM(N21:P21)=0,0,SUM(N21:P21)/'Resid Cust Fcst '!AU22)</f>
        <v>0</v>
      </c>
      <c r="R21" s="137">
        <f t="shared" si="2"/>
        <v>0</v>
      </c>
      <c r="S21" s="23">
        <f t="shared" si="0"/>
        <v>0</v>
      </c>
      <c r="T21" s="23">
        <f t="shared" si="0"/>
        <v>0</v>
      </c>
      <c r="U21" s="45">
        <f>IF(SUM(R21:T21)=0,0,SUM(R21:T21)/'Resid Cust Fcst '!AV22)</f>
        <v>0</v>
      </c>
      <c r="V21" s="137">
        <f>'Resid Cust Fcst '!$AW22*'Resid TSM UC Adj'!R21</f>
        <v>0</v>
      </c>
      <c r="W21" s="23">
        <f>'Resid Cust Fcst '!$AW22*'Resid TSM UC Adj'!S21</f>
        <v>0</v>
      </c>
      <c r="X21" s="23">
        <f>'Resid Cust Fcst '!$AW22*'Resid TSM UC Adj'!T21</f>
        <v>0</v>
      </c>
      <c r="Y21" s="45">
        <f>IF(SUM(V21:X21)=0,0,SUM(V21:X21)/'Resid Cust Fcst '!AW22)</f>
        <v>0</v>
      </c>
      <c r="Z21" s="137">
        <f t="shared" si="3"/>
        <v>0</v>
      </c>
      <c r="AA21" s="23">
        <f t="shared" si="1"/>
        <v>0</v>
      </c>
      <c r="AB21" s="23">
        <f t="shared" si="1"/>
        <v>0</v>
      </c>
      <c r="AC21" s="45">
        <f>IF(SUM(Z21:AB21)=0,0,SUM(Z21:AB21)/'Resid Cust Fcst '!AX22)</f>
        <v>0</v>
      </c>
    </row>
    <row r="22" spans="1:29">
      <c r="A22" s="153" t="s">
        <v>14</v>
      </c>
      <c r="B22" s="137">
        <f>'Resid Cust Fcst '!$AR23*'Resid TSM UC Adj'!J22</f>
        <v>0</v>
      </c>
      <c r="C22" s="23">
        <f>'Resid Cust Fcst '!$AR23*'Resid TSM UC Adj'!K22</f>
        <v>0</v>
      </c>
      <c r="D22" s="23">
        <f>'Resid Cust Fcst '!$AR23*'Resid TSM UC Adj'!L22</f>
        <v>0</v>
      </c>
      <c r="E22" s="45">
        <f>IF(SUM(B22:D22)=0,0,SUM(B22:D22)/'Resid Cust Fcst '!AR23)</f>
        <v>0</v>
      </c>
      <c r="F22" s="137">
        <f>'Resid Cust Fcst '!$AS23*'Resid TSM UC Adj'!J22</f>
        <v>0</v>
      </c>
      <c r="G22" s="23">
        <f>'Resid Cust Fcst '!$AS23*'Resid TSM UC Adj'!K22</f>
        <v>0</v>
      </c>
      <c r="H22" s="23">
        <f>'Resid Cust Fcst '!$AS23*'Resid TSM UC Adj'!L22</f>
        <v>0</v>
      </c>
      <c r="I22" s="45">
        <f>IF(SUM(F22:H22)=0,0,SUM(F22:H22)/'Resid Cust Fcst '!AS23)</f>
        <v>0</v>
      </c>
      <c r="J22" s="137">
        <f>'Resid Cust Fcst '!$AT23*'Resid TSM UC Adj'!J22</f>
        <v>0</v>
      </c>
      <c r="K22" s="23">
        <f>'Resid Cust Fcst '!$AT23*'Resid TSM UC Adj'!K22</f>
        <v>0</v>
      </c>
      <c r="L22" s="23">
        <f>'Resid Cust Fcst '!$AT23*'Resid TSM UC Adj'!L22</f>
        <v>0</v>
      </c>
      <c r="M22" s="45">
        <f>IF(SUM(J22:L22)=0,0,SUM(J22:L22)/'Resid Cust Fcst '!AT23)</f>
        <v>0</v>
      </c>
      <c r="N22" s="137">
        <f>'Resid Cust Fcst '!$AU23*'Resid TSM UC Adj'!N22</f>
        <v>0</v>
      </c>
      <c r="O22" s="23">
        <f>'Resid Cust Fcst '!$AU23*'Resid TSM UC Adj'!O22</f>
        <v>0</v>
      </c>
      <c r="P22" s="23">
        <f>'Resid Cust Fcst '!$AU23*'Resid TSM UC Adj'!P22</f>
        <v>0</v>
      </c>
      <c r="Q22" s="45">
        <f>IF(SUM(N22:P22)=0,0,SUM(N22:P22)/'Resid Cust Fcst '!AU23)</f>
        <v>0</v>
      </c>
      <c r="R22" s="137">
        <f t="shared" si="2"/>
        <v>0</v>
      </c>
      <c r="S22" s="23">
        <f t="shared" si="0"/>
        <v>0</v>
      </c>
      <c r="T22" s="23">
        <f t="shared" si="0"/>
        <v>0</v>
      </c>
      <c r="U22" s="45">
        <f>IF(SUM(R22:T22)=0,0,SUM(R22:T22)/'Resid Cust Fcst '!AV23)</f>
        <v>0</v>
      </c>
      <c r="V22" s="137">
        <f>'Resid Cust Fcst '!$AW23*'Resid TSM UC Adj'!R22</f>
        <v>0</v>
      </c>
      <c r="W22" s="23">
        <f>'Resid Cust Fcst '!$AW23*'Resid TSM UC Adj'!S22</f>
        <v>0</v>
      </c>
      <c r="X22" s="23">
        <f>'Resid Cust Fcst '!$AW23*'Resid TSM UC Adj'!T22</f>
        <v>0</v>
      </c>
      <c r="Y22" s="45">
        <f>IF(SUM(V22:X22)=0,0,SUM(V22:X22)/'Resid Cust Fcst '!AW23)</f>
        <v>0</v>
      </c>
      <c r="Z22" s="137">
        <f t="shared" si="3"/>
        <v>0</v>
      </c>
      <c r="AA22" s="23">
        <f t="shared" si="1"/>
        <v>0</v>
      </c>
      <c r="AB22" s="23">
        <f t="shared" si="1"/>
        <v>0</v>
      </c>
      <c r="AC22" s="45">
        <f>IF(SUM(Z22:AB22)=0,0,SUM(Z22:AB22)/'Resid Cust Fcst '!AX23)</f>
        <v>0</v>
      </c>
    </row>
    <row r="23" spans="1:29">
      <c r="A23" s="153" t="s">
        <v>15</v>
      </c>
      <c r="B23" s="137">
        <f>'Resid Cust Fcst '!$AR24*'Resid TSM UC Adj'!J23</f>
        <v>0</v>
      </c>
      <c r="C23" s="23">
        <f>'Resid Cust Fcst '!$AR24*'Resid TSM UC Adj'!K23</f>
        <v>0</v>
      </c>
      <c r="D23" s="23">
        <f>'Resid Cust Fcst '!$AR24*'Resid TSM UC Adj'!L23</f>
        <v>0</v>
      </c>
      <c r="E23" s="45">
        <f>IF(SUM(B23:D23)=0,0,SUM(B23:D23)/'Resid Cust Fcst '!AR24)</f>
        <v>0</v>
      </c>
      <c r="F23" s="137">
        <f>'Resid Cust Fcst '!$AS24*'Resid TSM UC Adj'!J23</f>
        <v>0</v>
      </c>
      <c r="G23" s="23">
        <f>'Resid Cust Fcst '!$AS24*'Resid TSM UC Adj'!K23</f>
        <v>0</v>
      </c>
      <c r="H23" s="23">
        <f>'Resid Cust Fcst '!$AS24*'Resid TSM UC Adj'!L23</f>
        <v>0</v>
      </c>
      <c r="I23" s="45">
        <f>IF(SUM(F23:H23)=0,0,SUM(F23:H23)/'Resid Cust Fcst '!AS24)</f>
        <v>0</v>
      </c>
      <c r="J23" s="137">
        <f>'Resid Cust Fcst '!$AT24*'Resid TSM UC Adj'!J23</f>
        <v>0</v>
      </c>
      <c r="K23" s="23">
        <f>'Resid Cust Fcst '!$AT24*'Resid TSM UC Adj'!K23</f>
        <v>0</v>
      </c>
      <c r="L23" s="23">
        <f>'Resid Cust Fcst '!$AT24*'Resid TSM UC Adj'!L23</f>
        <v>0</v>
      </c>
      <c r="M23" s="45">
        <f>IF(SUM(J23:L23)=0,0,SUM(J23:L23)/'Resid Cust Fcst '!AT24)</f>
        <v>0</v>
      </c>
      <c r="N23" s="137">
        <f>'Resid Cust Fcst '!$AU24*'Resid TSM UC Adj'!N23</f>
        <v>0</v>
      </c>
      <c r="O23" s="23">
        <f>'Resid Cust Fcst '!$AU24*'Resid TSM UC Adj'!O23</f>
        <v>0</v>
      </c>
      <c r="P23" s="23">
        <f>'Resid Cust Fcst '!$AU24*'Resid TSM UC Adj'!P23</f>
        <v>0</v>
      </c>
      <c r="Q23" s="45">
        <f>IF(SUM(N23:P23)=0,0,SUM(N23:P23)/'Resid Cust Fcst '!AU24)</f>
        <v>0</v>
      </c>
      <c r="R23" s="137">
        <f t="shared" si="2"/>
        <v>0</v>
      </c>
      <c r="S23" s="23">
        <f t="shared" si="2"/>
        <v>0</v>
      </c>
      <c r="T23" s="23">
        <f t="shared" si="2"/>
        <v>0</v>
      </c>
      <c r="U23" s="45">
        <f>IF(SUM(R23:T23)=0,0,SUM(R23:T23)/'Resid Cust Fcst '!AV24)</f>
        <v>0</v>
      </c>
      <c r="V23" s="137">
        <f>'Resid Cust Fcst '!$AW24*'Resid TSM UC Adj'!R23</f>
        <v>0</v>
      </c>
      <c r="W23" s="23">
        <f>'Resid Cust Fcst '!$AW24*'Resid TSM UC Adj'!S23</f>
        <v>0</v>
      </c>
      <c r="X23" s="23">
        <f>'Resid Cust Fcst '!$AW24*'Resid TSM UC Adj'!T23</f>
        <v>0</v>
      </c>
      <c r="Y23" s="45">
        <f>IF(SUM(V23:X23)=0,0,SUM(V23:X23)/'Resid Cust Fcst '!AW24)</f>
        <v>0</v>
      </c>
      <c r="Z23" s="137">
        <f t="shared" si="3"/>
        <v>0</v>
      </c>
      <c r="AA23" s="23">
        <f t="shared" si="3"/>
        <v>0</v>
      </c>
      <c r="AB23" s="23">
        <f t="shared" si="3"/>
        <v>0</v>
      </c>
      <c r="AC23" s="45">
        <f>IF(SUM(Z23:AB23)=0,0,SUM(Z23:AB23)/'Resid Cust Fcst '!AX24)</f>
        <v>0</v>
      </c>
    </row>
    <row r="24" spans="1:29">
      <c r="A24" s="153" t="s">
        <v>16</v>
      </c>
      <c r="B24" s="137">
        <f>'Resid Cust Fcst '!$AR25*'Resid TSM UC Adj'!J24</f>
        <v>0</v>
      </c>
      <c r="C24" s="23">
        <f>'Resid Cust Fcst '!$AR25*'Resid TSM UC Adj'!K24</f>
        <v>0</v>
      </c>
      <c r="D24" s="23">
        <f>'Resid Cust Fcst '!$AR25*'Resid TSM UC Adj'!L24</f>
        <v>0</v>
      </c>
      <c r="E24" s="45">
        <f>IF(SUM(B24:D24)=0,0,SUM(B24:D24)/'Resid Cust Fcst '!AR25)</f>
        <v>0</v>
      </c>
      <c r="F24" s="137">
        <f>'Resid Cust Fcst '!$AS25*'Resid TSM UC Adj'!J24</f>
        <v>0</v>
      </c>
      <c r="G24" s="23">
        <f>'Resid Cust Fcst '!$AS25*'Resid TSM UC Adj'!K24</f>
        <v>0</v>
      </c>
      <c r="H24" s="23">
        <f>'Resid Cust Fcst '!$AS25*'Resid TSM UC Adj'!L24</f>
        <v>0</v>
      </c>
      <c r="I24" s="45">
        <f>IF(SUM(F24:H24)=0,0,SUM(F24:H24)/'Resid Cust Fcst '!AS25)</f>
        <v>0</v>
      </c>
      <c r="J24" s="137">
        <f>'Resid Cust Fcst '!$AT25*'Resid TSM UC Adj'!J24</f>
        <v>0</v>
      </c>
      <c r="K24" s="23">
        <f>'Resid Cust Fcst '!$AT25*'Resid TSM UC Adj'!K24</f>
        <v>0</v>
      </c>
      <c r="L24" s="23">
        <f>'Resid Cust Fcst '!$AT25*'Resid TSM UC Adj'!L24</f>
        <v>0</v>
      </c>
      <c r="M24" s="45">
        <f>IF(SUM(J24:L24)=0,0,SUM(J24:L24)/'Resid Cust Fcst '!AT25)</f>
        <v>0</v>
      </c>
      <c r="N24" s="137">
        <f>'Resid Cust Fcst '!$AU25*'Resid TSM UC Adj'!N24</f>
        <v>0</v>
      </c>
      <c r="O24" s="23">
        <f>'Resid Cust Fcst '!$AU25*'Resid TSM UC Adj'!O24</f>
        <v>0</v>
      </c>
      <c r="P24" s="23">
        <f>'Resid Cust Fcst '!$AU25*'Resid TSM UC Adj'!P24</f>
        <v>0</v>
      </c>
      <c r="Q24" s="45">
        <f>IF(SUM(N24:P24)=0,0,SUM(N24:P24)/'Resid Cust Fcst '!AU25)</f>
        <v>0</v>
      </c>
      <c r="R24" s="137">
        <f t="shared" si="2"/>
        <v>0</v>
      </c>
      <c r="S24" s="23">
        <f t="shared" si="2"/>
        <v>0</v>
      </c>
      <c r="T24" s="23">
        <f t="shared" si="2"/>
        <v>0</v>
      </c>
      <c r="U24" s="45">
        <f>IF(SUM(R24:T24)=0,0,SUM(R24:T24)/'Resid Cust Fcst '!AV25)</f>
        <v>0</v>
      </c>
      <c r="V24" s="137">
        <f>'Resid Cust Fcst '!$AW25*'Resid TSM UC Adj'!R24</f>
        <v>0</v>
      </c>
      <c r="W24" s="23">
        <f>'Resid Cust Fcst '!$AW25*'Resid TSM UC Adj'!S24</f>
        <v>0</v>
      </c>
      <c r="X24" s="23">
        <f>'Resid Cust Fcst '!$AW25*'Resid TSM UC Adj'!T24</f>
        <v>0</v>
      </c>
      <c r="Y24" s="45">
        <f>IF(SUM(V24:X24)=0,0,SUM(V24:X24)/'Resid Cust Fcst '!AW25)</f>
        <v>0</v>
      </c>
      <c r="Z24" s="137">
        <f t="shared" si="3"/>
        <v>0</v>
      </c>
      <c r="AA24" s="23">
        <f t="shared" si="3"/>
        <v>0</v>
      </c>
      <c r="AB24" s="23">
        <f t="shared" si="3"/>
        <v>0</v>
      </c>
      <c r="AC24" s="45">
        <f>IF(SUM(Z24:AB24)=0,0,SUM(Z24:AB24)/'Resid Cust Fcst '!AX25)</f>
        <v>0</v>
      </c>
    </row>
    <row r="25" spans="1:29">
      <c r="A25" s="153" t="s">
        <v>17</v>
      </c>
      <c r="B25" s="137">
        <f>'Resid Cust Fcst '!$AR26*'Resid TSM UC Adj'!J25</f>
        <v>0</v>
      </c>
      <c r="C25" s="23">
        <f>'Resid Cust Fcst '!$AR26*'Resid TSM UC Adj'!K25</f>
        <v>0</v>
      </c>
      <c r="D25" s="23">
        <f>'Resid Cust Fcst '!$AR26*'Resid TSM UC Adj'!L25</f>
        <v>0</v>
      </c>
      <c r="E25" s="45">
        <f>IF(SUM(B25:D25)=0,0,SUM(B25:D25)/'Resid Cust Fcst '!AR26)</f>
        <v>0</v>
      </c>
      <c r="F25" s="137">
        <f>'Resid Cust Fcst '!$AS26*'Resid TSM UC Adj'!J25</f>
        <v>0</v>
      </c>
      <c r="G25" s="23">
        <f>'Resid Cust Fcst '!$AS26*'Resid TSM UC Adj'!K25</f>
        <v>0</v>
      </c>
      <c r="H25" s="23">
        <f>'Resid Cust Fcst '!$AS26*'Resid TSM UC Adj'!L25</f>
        <v>0</v>
      </c>
      <c r="I25" s="45">
        <f>IF(SUM(F25:H25)=0,0,SUM(F25:H25)/'Resid Cust Fcst '!AS26)</f>
        <v>0</v>
      </c>
      <c r="J25" s="137">
        <f>'Resid Cust Fcst '!$AT26*'Resid TSM UC Adj'!J25</f>
        <v>0</v>
      </c>
      <c r="K25" s="23">
        <f>'Resid Cust Fcst '!$AT26*'Resid TSM UC Adj'!K25</f>
        <v>0</v>
      </c>
      <c r="L25" s="23">
        <f>'Resid Cust Fcst '!$AT26*'Resid TSM UC Adj'!L25</f>
        <v>0</v>
      </c>
      <c r="M25" s="45">
        <f>IF(SUM(J25:L25)=0,0,SUM(J25:L25)/'Resid Cust Fcst '!AT26)</f>
        <v>0</v>
      </c>
      <c r="N25" s="137">
        <f>'Resid Cust Fcst '!$AU26*'Resid TSM UC Adj'!N25</f>
        <v>0</v>
      </c>
      <c r="O25" s="23">
        <f>'Resid Cust Fcst '!$AU26*'Resid TSM UC Adj'!O25</f>
        <v>0</v>
      </c>
      <c r="P25" s="23">
        <f>'Resid Cust Fcst '!$AU26*'Resid TSM UC Adj'!P25</f>
        <v>0</v>
      </c>
      <c r="Q25" s="45">
        <f>IF(SUM(N25:P25)=0,0,SUM(N25:P25)/'Resid Cust Fcst '!AU26)</f>
        <v>0</v>
      </c>
      <c r="R25" s="137">
        <f t="shared" si="2"/>
        <v>0</v>
      </c>
      <c r="S25" s="23">
        <f t="shared" si="2"/>
        <v>0</v>
      </c>
      <c r="T25" s="23">
        <f t="shared" si="2"/>
        <v>0</v>
      </c>
      <c r="U25" s="45">
        <f>IF(SUM(R25:T25)=0,0,SUM(R25:T25)/'Resid Cust Fcst '!AV26)</f>
        <v>0</v>
      </c>
      <c r="V25" s="137">
        <f>'Resid Cust Fcst '!$AW26*'Resid TSM UC Adj'!R25</f>
        <v>0</v>
      </c>
      <c r="W25" s="23">
        <f>'Resid Cust Fcst '!$AW26*'Resid TSM UC Adj'!S25</f>
        <v>0</v>
      </c>
      <c r="X25" s="23">
        <f>'Resid Cust Fcst '!$AW26*'Resid TSM UC Adj'!T25</f>
        <v>0</v>
      </c>
      <c r="Y25" s="45">
        <f>IF(SUM(V25:X25)=0,0,SUM(V25:X25)/'Resid Cust Fcst '!AW26)</f>
        <v>0</v>
      </c>
      <c r="Z25" s="137">
        <f t="shared" si="3"/>
        <v>0</v>
      </c>
      <c r="AA25" s="23">
        <f t="shared" si="3"/>
        <v>0</v>
      </c>
      <c r="AB25" s="23">
        <f t="shared" si="3"/>
        <v>0</v>
      </c>
      <c r="AC25" s="45">
        <f>IF(SUM(Z25:AB25)=0,0,SUM(Z25:AB25)/'Resid Cust Fcst '!AX26)</f>
        <v>0</v>
      </c>
    </row>
    <row r="26" spans="1:29">
      <c r="A26" s="153" t="s">
        <v>18</v>
      </c>
      <c r="B26" s="137">
        <f>'Resid Cust Fcst '!$AR27*'Resid TSM UC Adj'!J26</f>
        <v>0</v>
      </c>
      <c r="C26" s="23">
        <f>'Resid Cust Fcst '!$AR27*'Resid TSM UC Adj'!K26</f>
        <v>0</v>
      </c>
      <c r="D26" s="23">
        <f>'Resid Cust Fcst '!$AR27*'Resid TSM UC Adj'!L26</f>
        <v>0</v>
      </c>
      <c r="E26" s="45">
        <f>IF(SUM(B26:D26)=0,0,SUM(B26:D26)/'Resid Cust Fcst '!AR27)</f>
        <v>0</v>
      </c>
      <c r="F26" s="137">
        <f>'Resid Cust Fcst '!$AS27*'Resid TSM UC Adj'!J26</f>
        <v>0</v>
      </c>
      <c r="G26" s="23">
        <f>'Resid Cust Fcst '!$AS27*'Resid TSM UC Adj'!K26</f>
        <v>0</v>
      </c>
      <c r="H26" s="23">
        <f>'Resid Cust Fcst '!$AS27*'Resid TSM UC Adj'!L26</f>
        <v>0</v>
      </c>
      <c r="I26" s="45">
        <f>IF(SUM(F26:H26)=0,0,SUM(F26:H26)/'Resid Cust Fcst '!AS27)</f>
        <v>0</v>
      </c>
      <c r="J26" s="137">
        <f>'Resid Cust Fcst '!$AT27*'Resid TSM UC Adj'!J26</f>
        <v>0</v>
      </c>
      <c r="K26" s="23">
        <f>'Resid Cust Fcst '!$AT27*'Resid TSM UC Adj'!K26</f>
        <v>0</v>
      </c>
      <c r="L26" s="23">
        <f>'Resid Cust Fcst '!$AT27*'Resid TSM UC Adj'!L26</f>
        <v>0</v>
      </c>
      <c r="M26" s="45">
        <f>IF(SUM(J26:L26)=0,0,SUM(J26:L26)/'Resid Cust Fcst '!AT27)</f>
        <v>0</v>
      </c>
      <c r="N26" s="137">
        <f>'Resid Cust Fcst '!$AU27*'Resid TSM UC Adj'!N26</f>
        <v>0</v>
      </c>
      <c r="O26" s="23">
        <f>'Resid Cust Fcst '!$AU27*'Resid TSM UC Adj'!O26</f>
        <v>0</v>
      </c>
      <c r="P26" s="23">
        <f>'Resid Cust Fcst '!$AU27*'Resid TSM UC Adj'!P26</f>
        <v>0</v>
      </c>
      <c r="Q26" s="45">
        <f>IF(SUM(N26:P26)=0,0,SUM(N26:P26)/'Resid Cust Fcst '!AU27)</f>
        <v>0</v>
      </c>
      <c r="R26" s="137">
        <f t="shared" si="2"/>
        <v>0</v>
      </c>
      <c r="S26" s="23">
        <f t="shared" si="2"/>
        <v>0</v>
      </c>
      <c r="T26" s="23">
        <f t="shared" si="2"/>
        <v>0</v>
      </c>
      <c r="U26" s="45">
        <f>IF(SUM(R26:T26)=0,0,SUM(R26:T26)/'Resid Cust Fcst '!AV27)</f>
        <v>0</v>
      </c>
      <c r="V26" s="137">
        <f>'Resid Cust Fcst '!$AW27*'Resid TSM UC Adj'!R26</f>
        <v>0</v>
      </c>
      <c r="W26" s="23">
        <f>'Resid Cust Fcst '!$AW27*'Resid TSM UC Adj'!S26</f>
        <v>0</v>
      </c>
      <c r="X26" s="23">
        <f>'Resid Cust Fcst '!$AW27*'Resid TSM UC Adj'!T26</f>
        <v>0</v>
      </c>
      <c r="Y26" s="45">
        <f>IF(SUM(V26:X26)=0,0,SUM(V26:X26)/'Resid Cust Fcst '!AW27)</f>
        <v>0</v>
      </c>
      <c r="Z26" s="137">
        <f t="shared" si="3"/>
        <v>0</v>
      </c>
      <c r="AA26" s="23">
        <f t="shared" si="3"/>
        <v>0</v>
      </c>
      <c r="AB26" s="23">
        <f t="shared" si="3"/>
        <v>0</v>
      </c>
      <c r="AC26" s="45">
        <f>IF(SUM(Z26:AB26)=0,0,SUM(Z26:AB26)/'Resid Cust Fcst '!AX27)</f>
        <v>0</v>
      </c>
    </row>
    <row r="27" spans="1:29">
      <c r="A27" s="153" t="s">
        <v>19</v>
      </c>
      <c r="B27" s="137">
        <f>'Resid Cust Fcst '!$AR28*'Resid TSM UC Adj'!J27</f>
        <v>0</v>
      </c>
      <c r="C27" s="23">
        <f>'Resid Cust Fcst '!$AR28*'Resid TSM UC Adj'!K27</f>
        <v>0</v>
      </c>
      <c r="D27" s="23">
        <f>'Resid Cust Fcst '!$AR28*'Resid TSM UC Adj'!L27</f>
        <v>0</v>
      </c>
      <c r="E27" s="45">
        <f>IF(SUM(B27:D27)=0,0,SUM(B27:D27)/'Resid Cust Fcst '!AR28)</f>
        <v>0</v>
      </c>
      <c r="F27" s="137">
        <f>'Resid Cust Fcst '!$AS28*'Resid TSM UC Adj'!J27</f>
        <v>0</v>
      </c>
      <c r="G27" s="23">
        <f>'Resid Cust Fcst '!$AS28*'Resid TSM UC Adj'!K27</f>
        <v>0</v>
      </c>
      <c r="H27" s="23">
        <f>'Resid Cust Fcst '!$AS28*'Resid TSM UC Adj'!L27</f>
        <v>0</v>
      </c>
      <c r="I27" s="45">
        <f>IF(SUM(F27:H27)=0,0,SUM(F27:H27)/'Resid Cust Fcst '!AS28)</f>
        <v>0</v>
      </c>
      <c r="J27" s="137">
        <f>'Resid Cust Fcst '!$AT28*'Resid TSM UC Adj'!J27</f>
        <v>0</v>
      </c>
      <c r="K27" s="23">
        <f>'Resid Cust Fcst '!$AT28*'Resid TSM UC Adj'!K27</f>
        <v>0</v>
      </c>
      <c r="L27" s="23">
        <f>'Resid Cust Fcst '!$AT28*'Resid TSM UC Adj'!L27</f>
        <v>0</v>
      </c>
      <c r="M27" s="45">
        <f>IF(SUM(J27:L27)=0,0,SUM(J27:L27)/'Resid Cust Fcst '!AT28)</f>
        <v>0</v>
      </c>
      <c r="N27" s="137">
        <f>'Resid Cust Fcst '!$AU28*'Resid TSM UC Adj'!N27</f>
        <v>0</v>
      </c>
      <c r="O27" s="23">
        <f>'Resid Cust Fcst '!$AU28*'Resid TSM UC Adj'!O27</f>
        <v>0</v>
      </c>
      <c r="P27" s="23">
        <f>'Resid Cust Fcst '!$AU28*'Resid TSM UC Adj'!P27</f>
        <v>0</v>
      </c>
      <c r="Q27" s="45">
        <f>IF(SUM(N27:P27)=0,0,SUM(N27:P27)/'Resid Cust Fcst '!AU28)</f>
        <v>0</v>
      </c>
      <c r="R27" s="137">
        <f t="shared" si="2"/>
        <v>0</v>
      </c>
      <c r="S27" s="23">
        <f t="shared" si="2"/>
        <v>0</v>
      </c>
      <c r="T27" s="23">
        <f t="shared" si="2"/>
        <v>0</v>
      </c>
      <c r="U27" s="45">
        <f>IF(SUM(R27:T27)=0,0,SUM(R27:T27)/'Resid Cust Fcst '!AV28)</f>
        <v>0</v>
      </c>
      <c r="V27" s="137">
        <f>'Resid Cust Fcst '!$AW28*'Resid TSM UC Adj'!R27</f>
        <v>0</v>
      </c>
      <c r="W27" s="23">
        <f>'Resid Cust Fcst '!$AW28*'Resid TSM UC Adj'!S27</f>
        <v>0</v>
      </c>
      <c r="X27" s="23">
        <f>'Resid Cust Fcst '!$AW28*'Resid TSM UC Adj'!T27</f>
        <v>0</v>
      </c>
      <c r="Y27" s="45">
        <f>IF(SUM(V27:X27)=0,0,SUM(V27:X27)/'Resid Cust Fcst '!AW28)</f>
        <v>0</v>
      </c>
      <c r="Z27" s="137">
        <f t="shared" si="3"/>
        <v>0</v>
      </c>
      <c r="AA27" s="23">
        <f t="shared" si="3"/>
        <v>0</v>
      </c>
      <c r="AB27" s="23">
        <f t="shared" si="3"/>
        <v>0</v>
      </c>
      <c r="AC27" s="45">
        <f>IF(SUM(Z27:AB27)=0,0,SUM(Z27:AB27)/'Resid Cust Fcst '!AX28)</f>
        <v>0</v>
      </c>
    </row>
    <row r="28" spans="1:29">
      <c r="A28" s="153" t="s">
        <v>20</v>
      </c>
      <c r="B28" s="137">
        <f>'Resid Cust Fcst '!$AR29*'Resid TSM UC Adj'!J28</f>
        <v>0</v>
      </c>
      <c r="C28" s="23">
        <f>'Resid Cust Fcst '!$AR29*'Resid TSM UC Adj'!K28</f>
        <v>0</v>
      </c>
      <c r="D28" s="23">
        <f>'Resid Cust Fcst '!$AR29*'Resid TSM UC Adj'!L28</f>
        <v>0</v>
      </c>
      <c r="E28" s="45">
        <f>IF(SUM(B28:D28)=0,0,SUM(B28:D28)/'Resid Cust Fcst '!AR29)</f>
        <v>0</v>
      </c>
      <c r="F28" s="137">
        <f>'Resid Cust Fcst '!$AS29*'Resid TSM UC Adj'!J28</f>
        <v>0</v>
      </c>
      <c r="G28" s="23">
        <f>'Resid Cust Fcst '!$AS29*'Resid TSM UC Adj'!K28</f>
        <v>0</v>
      </c>
      <c r="H28" s="23">
        <f>'Resid Cust Fcst '!$AS29*'Resid TSM UC Adj'!L28</f>
        <v>0</v>
      </c>
      <c r="I28" s="45">
        <f>IF(SUM(F28:H28)=0,0,SUM(F28:H28)/'Resid Cust Fcst '!AS29)</f>
        <v>0</v>
      </c>
      <c r="J28" s="137">
        <f>'Resid Cust Fcst '!$AT29*'Resid TSM UC Adj'!J28</f>
        <v>0</v>
      </c>
      <c r="K28" s="23">
        <f>'Resid Cust Fcst '!$AT29*'Resid TSM UC Adj'!K28</f>
        <v>0</v>
      </c>
      <c r="L28" s="23">
        <f>'Resid Cust Fcst '!$AT29*'Resid TSM UC Adj'!L28</f>
        <v>0</v>
      </c>
      <c r="M28" s="45">
        <f>IF(SUM(J28:L28)=0,0,SUM(J28:L28)/'Resid Cust Fcst '!AT29)</f>
        <v>0</v>
      </c>
      <c r="N28" s="137">
        <f>'Resid Cust Fcst '!$AU29*'Resid TSM UC Adj'!N28</f>
        <v>0</v>
      </c>
      <c r="O28" s="23">
        <f>'Resid Cust Fcst '!$AU29*'Resid TSM UC Adj'!O28</f>
        <v>0</v>
      </c>
      <c r="P28" s="23">
        <f>'Resid Cust Fcst '!$AU29*'Resid TSM UC Adj'!P28</f>
        <v>0</v>
      </c>
      <c r="Q28" s="45">
        <f>IF(SUM(N28:P28)=0,0,SUM(N28:P28)/'Resid Cust Fcst '!AU29)</f>
        <v>0</v>
      </c>
      <c r="R28" s="137">
        <f t="shared" si="2"/>
        <v>0</v>
      </c>
      <c r="S28" s="23">
        <f t="shared" si="2"/>
        <v>0</v>
      </c>
      <c r="T28" s="23">
        <f t="shared" si="2"/>
        <v>0</v>
      </c>
      <c r="U28" s="45">
        <f>IF(SUM(R28:T28)=0,0,SUM(R28:T28)/'Resid Cust Fcst '!AV29)</f>
        <v>0</v>
      </c>
      <c r="V28" s="137">
        <f>'Resid Cust Fcst '!$AW29*'Resid TSM UC Adj'!R28</f>
        <v>0</v>
      </c>
      <c r="W28" s="23">
        <f>'Resid Cust Fcst '!$AW29*'Resid TSM UC Adj'!S28</f>
        <v>0</v>
      </c>
      <c r="X28" s="23">
        <f>'Resid Cust Fcst '!$AW29*'Resid TSM UC Adj'!T28</f>
        <v>0</v>
      </c>
      <c r="Y28" s="45">
        <f>IF(SUM(V28:X28)=0,0,SUM(V28:X28)/'Resid Cust Fcst '!AW29)</f>
        <v>0</v>
      </c>
      <c r="Z28" s="137">
        <f t="shared" si="3"/>
        <v>0</v>
      </c>
      <c r="AA28" s="23">
        <f t="shared" si="3"/>
        <v>0</v>
      </c>
      <c r="AB28" s="23">
        <f t="shared" si="3"/>
        <v>0</v>
      </c>
      <c r="AC28" s="45">
        <f>IF(SUM(Z28:AB28)=0,0,SUM(Z28:AB28)/'Resid Cust Fcst '!AX29)</f>
        <v>0</v>
      </c>
    </row>
    <row r="29" spans="1:29">
      <c r="A29" s="153" t="s">
        <v>21</v>
      </c>
      <c r="B29" s="137">
        <f>'Resid Cust Fcst '!$AR30*'Resid TSM UC Adj'!J29</f>
        <v>0</v>
      </c>
      <c r="C29" s="23">
        <f>'Resid Cust Fcst '!$AR30*'Resid TSM UC Adj'!K29</f>
        <v>0</v>
      </c>
      <c r="D29" s="23">
        <f>'Resid Cust Fcst '!$AR30*'Resid TSM UC Adj'!L29</f>
        <v>0</v>
      </c>
      <c r="E29" s="45">
        <f>IF(SUM(B29:D29)=0,0,SUM(B29:D29)/'Resid Cust Fcst '!AR30)</f>
        <v>0</v>
      </c>
      <c r="F29" s="137">
        <f>'Resid Cust Fcst '!$AS30*'Resid TSM UC Adj'!J29</f>
        <v>0</v>
      </c>
      <c r="G29" s="23">
        <f>'Resid Cust Fcst '!$AS30*'Resid TSM UC Adj'!K29</f>
        <v>0</v>
      </c>
      <c r="H29" s="23">
        <f>'Resid Cust Fcst '!$AS30*'Resid TSM UC Adj'!L29</f>
        <v>0</v>
      </c>
      <c r="I29" s="45">
        <f>IF(SUM(F29:H29)=0,0,SUM(F29:H29)/'Resid Cust Fcst '!AS30)</f>
        <v>0</v>
      </c>
      <c r="J29" s="137">
        <f>'Resid Cust Fcst '!$AT30*'Resid TSM UC Adj'!J29</f>
        <v>0</v>
      </c>
      <c r="K29" s="23">
        <f>'Resid Cust Fcst '!$AT30*'Resid TSM UC Adj'!K29</f>
        <v>0</v>
      </c>
      <c r="L29" s="23">
        <f>'Resid Cust Fcst '!$AT30*'Resid TSM UC Adj'!L29</f>
        <v>0</v>
      </c>
      <c r="M29" s="45">
        <f>IF(SUM(J29:L29)=0,0,SUM(J29:L29)/'Resid Cust Fcst '!AT30)</f>
        <v>0</v>
      </c>
      <c r="N29" s="137">
        <f>'Resid Cust Fcst '!$AU30*'Resid TSM UC Adj'!N29</f>
        <v>0</v>
      </c>
      <c r="O29" s="23">
        <f>'Resid Cust Fcst '!$AU30*'Resid TSM UC Adj'!O29</f>
        <v>0</v>
      </c>
      <c r="P29" s="23">
        <f>'Resid Cust Fcst '!$AU30*'Resid TSM UC Adj'!P29</f>
        <v>0</v>
      </c>
      <c r="Q29" s="45">
        <f>IF(SUM(N29:P29)=0,0,SUM(N29:P29)/'Resid Cust Fcst '!AU30)</f>
        <v>0</v>
      </c>
      <c r="R29" s="137">
        <f t="shared" si="2"/>
        <v>0</v>
      </c>
      <c r="S29" s="23">
        <f t="shared" si="2"/>
        <v>0</v>
      </c>
      <c r="T29" s="23">
        <f t="shared" si="2"/>
        <v>0</v>
      </c>
      <c r="U29" s="45">
        <f>IF(SUM(R29:T29)=0,0,SUM(R29:T29)/'Resid Cust Fcst '!AV30)</f>
        <v>0</v>
      </c>
      <c r="V29" s="137">
        <f>'Resid Cust Fcst '!$AW30*'Resid TSM UC Adj'!R29</f>
        <v>0</v>
      </c>
      <c r="W29" s="23">
        <f>'Resid Cust Fcst '!$AW30*'Resid TSM UC Adj'!S29</f>
        <v>0</v>
      </c>
      <c r="X29" s="23">
        <f>'Resid Cust Fcst '!$AW30*'Resid TSM UC Adj'!T29</f>
        <v>0</v>
      </c>
      <c r="Y29" s="45">
        <f>IF(SUM(V29:X29)=0,0,SUM(V29:X29)/'Resid Cust Fcst '!AW30)</f>
        <v>0</v>
      </c>
      <c r="Z29" s="137">
        <f t="shared" si="3"/>
        <v>0</v>
      </c>
      <c r="AA29" s="23">
        <f t="shared" si="3"/>
        <v>0</v>
      </c>
      <c r="AB29" s="23">
        <f t="shared" si="3"/>
        <v>0</v>
      </c>
      <c r="AC29" s="45">
        <f>IF(SUM(Z29:AB29)=0,0,SUM(Z29:AB29)/'Resid Cust Fcst '!AX30)</f>
        <v>0</v>
      </c>
    </row>
    <row r="30" spans="1:29">
      <c r="A30" s="153" t="s">
        <v>22</v>
      </c>
      <c r="B30" s="137">
        <f>'Resid Cust Fcst '!$AR31*'Resid TSM UC Adj'!J30</f>
        <v>0</v>
      </c>
      <c r="C30" s="23">
        <f>'Resid Cust Fcst '!$AR31*'Resid TSM UC Adj'!K30</f>
        <v>0</v>
      </c>
      <c r="D30" s="23">
        <f>'Resid Cust Fcst '!$AR31*'Resid TSM UC Adj'!L30</f>
        <v>0</v>
      </c>
      <c r="E30" s="45">
        <f>IF(SUM(B30:D30)=0,0,SUM(B30:D30)/'Resid Cust Fcst '!AR31)</f>
        <v>0</v>
      </c>
      <c r="F30" s="137">
        <f>'Resid Cust Fcst '!$AS31*'Resid TSM UC Adj'!J30</f>
        <v>0</v>
      </c>
      <c r="G30" s="23">
        <f>'Resid Cust Fcst '!$AS31*'Resid TSM UC Adj'!K30</f>
        <v>0</v>
      </c>
      <c r="H30" s="23">
        <f>'Resid Cust Fcst '!$AS31*'Resid TSM UC Adj'!L30</f>
        <v>0</v>
      </c>
      <c r="I30" s="45">
        <f>IF(SUM(F30:H30)=0,0,SUM(F30:H30)/'Resid Cust Fcst '!AS31)</f>
        <v>0</v>
      </c>
      <c r="J30" s="137">
        <f>'Resid Cust Fcst '!$AT31*'Resid TSM UC Adj'!J30</f>
        <v>0</v>
      </c>
      <c r="K30" s="23">
        <f>'Resid Cust Fcst '!$AT31*'Resid TSM UC Adj'!K30</f>
        <v>0</v>
      </c>
      <c r="L30" s="23">
        <f>'Resid Cust Fcst '!$AT31*'Resid TSM UC Adj'!L30</f>
        <v>0</v>
      </c>
      <c r="M30" s="45">
        <f>IF(SUM(J30:L30)=0,0,SUM(J30:L30)/'Resid Cust Fcst '!AT31)</f>
        <v>0</v>
      </c>
      <c r="N30" s="137">
        <f>'Resid Cust Fcst '!$AU31*'Resid TSM UC Adj'!N30</f>
        <v>0</v>
      </c>
      <c r="O30" s="23">
        <f>'Resid Cust Fcst '!$AU31*'Resid TSM UC Adj'!O30</f>
        <v>0</v>
      </c>
      <c r="P30" s="23">
        <f>'Resid Cust Fcst '!$AU31*'Resid TSM UC Adj'!P30</f>
        <v>0</v>
      </c>
      <c r="Q30" s="45">
        <f>IF(SUM(N30:P30)=0,0,SUM(N30:P30)/'Resid Cust Fcst '!AU31)</f>
        <v>0</v>
      </c>
      <c r="R30" s="137">
        <f t="shared" si="2"/>
        <v>0</v>
      </c>
      <c r="S30" s="23">
        <f t="shared" si="2"/>
        <v>0</v>
      </c>
      <c r="T30" s="23">
        <f t="shared" si="2"/>
        <v>0</v>
      </c>
      <c r="U30" s="45">
        <f>IF(SUM(R30:T30)=0,0,SUM(R30:T30)/'Resid Cust Fcst '!AV31)</f>
        <v>0</v>
      </c>
      <c r="V30" s="137">
        <f>'Resid Cust Fcst '!$AW31*'Resid TSM UC Adj'!R30</f>
        <v>0</v>
      </c>
      <c r="W30" s="23">
        <f>'Resid Cust Fcst '!$AW31*'Resid TSM UC Adj'!S30</f>
        <v>0</v>
      </c>
      <c r="X30" s="23">
        <f>'Resid Cust Fcst '!$AW31*'Resid TSM UC Adj'!T30</f>
        <v>0</v>
      </c>
      <c r="Y30" s="45">
        <f>IF(SUM(V30:X30)=0,0,SUM(V30:X30)/'Resid Cust Fcst '!AW31)</f>
        <v>0</v>
      </c>
      <c r="Z30" s="137">
        <f t="shared" si="3"/>
        <v>0</v>
      </c>
      <c r="AA30" s="23">
        <f t="shared" si="3"/>
        <v>0</v>
      </c>
      <c r="AB30" s="23">
        <f t="shared" si="3"/>
        <v>0</v>
      </c>
      <c r="AC30" s="45">
        <f>IF(SUM(Z30:AB30)=0,0,SUM(Z30:AB30)/'Resid Cust Fcst '!AX31)</f>
        <v>0</v>
      </c>
    </row>
    <row r="31" spans="1:29">
      <c r="A31" s="153" t="s">
        <v>23</v>
      </c>
      <c r="B31" s="137">
        <f>'Resid Cust Fcst '!$AR32*'Resid TSM UC Adj'!J31</f>
        <v>0</v>
      </c>
      <c r="C31" s="23">
        <f>'Resid Cust Fcst '!$AR32*'Resid TSM UC Adj'!K31</f>
        <v>0</v>
      </c>
      <c r="D31" s="23">
        <f>'Resid Cust Fcst '!$AR32*'Resid TSM UC Adj'!L31</f>
        <v>0</v>
      </c>
      <c r="E31" s="45">
        <f>IF(SUM(B31:D31)=0,0,SUM(B31:D31)/'Resid Cust Fcst '!AR32)</f>
        <v>0</v>
      </c>
      <c r="F31" s="137">
        <f>'Resid Cust Fcst '!$AS32*'Resid TSM UC Adj'!J31</f>
        <v>0</v>
      </c>
      <c r="G31" s="23">
        <f>'Resid Cust Fcst '!$AS32*'Resid TSM UC Adj'!K31</f>
        <v>0</v>
      </c>
      <c r="H31" s="23">
        <f>'Resid Cust Fcst '!$AS32*'Resid TSM UC Adj'!L31</f>
        <v>0</v>
      </c>
      <c r="I31" s="45">
        <f>IF(SUM(F31:H31)=0,0,SUM(F31:H31)/'Resid Cust Fcst '!AS32)</f>
        <v>0</v>
      </c>
      <c r="J31" s="137">
        <f>'Resid Cust Fcst '!$AT32*'Resid TSM UC Adj'!J31</f>
        <v>0</v>
      </c>
      <c r="K31" s="23">
        <f>'Resid Cust Fcst '!$AT32*'Resid TSM UC Adj'!K31</f>
        <v>0</v>
      </c>
      <c r="L31" s="23">
        <f>'Resid Cust Fcst '!$AT32*'Resid TSM UC Adj'!L31</f>
        <v>0</v>
      </c>
      <c r="M31" s="45">
        <f>IF(SUM(J31:L31)=0,0,SUM(J31:L31)/'Resid Cust Fcst '!AT32)</f>
        <v>0</v>
      </c>
      <c r="N31" s="137">
        <f>'Resid Cust Fcst '!$AU32*'Resid TSM UC Adj'!N31</f>
        <v>0</v>
      </c>
      <c r="O31" s="23">
        <f>'Resid Cust Fcst '!$AU32*'Resid TSM UC Adj'!O31</f>
        <v>0</v>
      </c>
      <c r="P31" s="23">
        <f>'Resid Cust Fcst '!$AU32*'Resid TSM UC Adj'!P31</f>
        <v>0</v>
      </c>
      <c r="Q31" s="45">
        <f>IF(SUM(N31:P31)=0,0,SUM(N31:P31)/'Resid Cust Fcst '!AU32)</f>
        <v>0</v>
      </c>
      <c r="R31" s="137">
        <f t="shared" si="2"/>
        <v>0</v>
      </c>
      <c r="S31" s="23">
        <f t="shared" si="2"/>
        <v>0</v>
      </c>
      <c r="T31" s="23">
        <f t="shared" si="2"/>
        <v>0</v>
      </c>
      <c r="U31" s="45">
        <f>IF(SUM(R31:T31)=0,0,SUM(R31:T31)/'Resid Cust Fcst '!AV32)</f>
        <v>0</v>
      </c>
      <c r="V31" s="137">
        <f>'Resid Cust Fcst '!$AW32*'Resid TSM UC Adj'!R31</f>
        <v>0</v>
      </c>
      <c r="W31" s="23">
        <f>'Resid Cust Fcst '!$AW32*'Resid TSM UC Adj'!S31</f>
        <v>0</v>
      </c>
      <c r="X31" s="23">
        <f>'Resid Cust Fcst '!$AW32*'Resid TSM UC Adj'!T31</f>
        <v>0</v>
      </c>
      <c r="Y31" s="45">
        <f>IF(SUM(V31:X31)=0,0,SUM(V31:X31)/'Resid Cust Fcst '!AW32)</f>
        <v>0</v>
      </c>
      <c r="Z31" s="137">
        <f t="shared" si="3"/>
        <v>0</v>
      </c>
      <c r="AA31" s="23">
        <f t="shared" si="3"/>
        <v>0</v>
      </c>
      <c r="AB31" s="23">
        <f t="shared" si="3"/>
        <v>0</v>
      </c>
      <c r="AC31" s="45">
        <f>IF(SUM(Z31:AB31)=0,0,SUM(Z31:AB31)/'Resid Cust Fcst '!AX32)</f>
        <v>0</v>
      </c>
    </row>
    <row r="32" spans="1:29">
      <c r="A32" s="153" t="s">
        <v>24</v>
      </c>
      <c r="B32" s="137">
        <f>'Resid Cust Fcst '!$AR33*'Resid TSM UC Adj'!J32</f>
        <v>0</v>
      </c>
      <c r="C32" s="23">
        <f>'Resid Cust Fcst '!$AR33*'Resid TSM UC Adj'!K32</f>
        <v>0</v>
      </c>
      <c r="D32" s="23">
        <f>'Resid Cust Fcst '!$AR33*'Resid TSM UC Adj'!L32</f>
        <v>0</v>
      </c>
      <c r="E32" s="45">
        <f>IF(SUM(B32:D32)=0,0,SUM(B32:D32)/'Resid Cust Fcst '!AR33)</f>
        <v>0</v>
      </c>
      <c r="F32" s="137">
        <f>'Resid Cust Fcst '!$AS33*'Resid TSM UC Adj'!J32</f>
        <v>0</v>
      </c>
      <c r="G32" s="23">
        <f>'Resid Cust Fcst '!$AS33*'Resid TSM UC Adj'!K32</f>
        <v>0</v>
      </c>
      <c r="H32" s="23">
        <f>'Resid Cust Fcst '!$AS33*'Resid TSM UC Adj'!L32</f>
        <v>0</v>
      </c>
      <c r="I32" s="45">
        <f>IF(SUM(F32:H32)=0,0,SUM(F32:H32)/'Resid Cust Fcst '!AS33)</f>
        <v>0</v>
      </c>
      <c r="J32" s="137">
        <f>'Resid Cust Fcst '!$AT33*'Resid TSM UC Adj'!J32</f>
        <v>0</v>
      </c>
      <c r="K32" s="23">
        <f>'Resid Cust Fcst '!$AT33*'Resid TSM UC Adj'!K32</f>
        <v>0</v>
      </c>
      <c r="L32" s="23">
        <f>'Resid Cust Fcst '!$AT33*'Resid TSM UC Adj'!L32</f>
        <v>0</v>
      </c>
      <c r="M32" s="45">
        <f>IF(SUM(J32:L32)=0,0,SUM(J32:L32)/'Resid Cust Fcst '!AT33)</f>
        <v>0</v>
      </c>
      <c r="N32" s="137">
        <f>'Resid Cust Fcst '!$AU33*'Resid TSM UC Adj'!N32</f>
        <v>0</v>
      </c>
      <c r="O32" s="23">
        <f>'Resid Cust Fcst '!$AU33*'Resid TSM UC Adj'!O32</f>
        <v>0</v>
      </c>
      <c r="P32" s="23">
        <f>'Resid Cust Fcst '!$AU33*'Resid TSM UC Adj'!P32</f>
        <v>0</v>
      </c>
      <c r="Q32" s="45">
        <f>IF(SUM(N32:P32)=0,0,SUM(N32:P32)/'Resid Cust Fcst '!AU33)</f>
        <v>0</v>
      </c>
      <c r="R32" s="137">
        <f t="shared" si="2"/>
        <v>0</v>
      </c>
      <c r="S32" s="23">
        <f t="shared" si="2"/>
        <v>0</v>
      </c>
      <c r="T32" s="23">
        <f t="shared" si="2"/>
        <v>0</v>
      </c>
      <c r="U32" s="45">
        <f>IF(SUM(R32:T32)=0,0,SUM(R32:T32)/'Resid Cust Fcst '!AV33)</f>
        <v>0</v>
      </c>
      <c r="V32" s="137">
        <f>'Resid Cust Fcst '!$AW33*'Resid TSM UC Adj'!R32</f>
        <v>0</v>
      </c>
      <c r="W32" s="23">
        <f>'Resid Cust Fcst '!$AW33*'Resid TSM UC Adj'!S32</f>
        <v>0</v>
      </c>
      <c r="X32" s="23">
        <f>'Resid Cust Fcst '!$AW33*'Resid TSM UC Adj'!T32</f>
        <v>0</v>
      </c>
      <c r="Y32" s="45">
        <f>IF(SUM(V32:X32)=0,0,SUM(V32:X32)/'Resid Cust Fcst '!AW33)</f>
        <v>0</v>
      </c>
      <c r="Z32" s="137">
        <f t="shared" si="3"/>
        <v>0</v>
      </c>
      <c r="AA32" s="23">
        <f t="shared" si="3"/>
        <v>0</v>
      </c>
      <c r="AB32" s="23">
        <f t="shared" si="3"/>
        <v>0</v>
      </c>
      <c r="AC32" s="45">
        <f>IF(SUM(Z32:AB32)=0,0,SUM(Z32:AB32)/'Resid Cust Fcst '!AX33)</f>
        <v>0</v>
      </c>
    </row>
    <row r="33" spans="1:29">
      <c r="A33" s="153" t="s">
        <v>25</v>
      </c>
      <c r="B33" s="137">
        <f>'Resid Cust Fcst '!$AR34*'Resid TSM UC Adj'!J33</f>
        <v>0</v>
      </c>
      <c r="C33" s="23">
        <f>'Resid Cust Fcst '!$AR34*'Resid TSM UC Adj'!K33</f>
        <v>0</v>
      </c>
      <c r="D33" s="23">
        <f>'Resid Cust Fcst '!$AR34*'Resid TSM UC Adj'!L33</f>
        <v>0</v>
      </c>
      <c r="E33" s="45">
        <f>IF(SUM(B33:D33)=0,0,SUM(B33:D33)/'Resid Cust Fcst '!AR34)</f>
        <v>0</v>
      </c>
      <c r="F33" s="137">
        <f>'Resid Cust Fcst '!$AS34*'Resid TSM UC Adj'!J33</f>
        <v>0</v>
      </c>
      <c r="G33" s="23">
        <f>'Resid Cust Fcst '!$AS34*'Resid TSM UC Adj'!K33</f>
        <v>0</v>
      </c>
      <c r="H33" s="23">
        <f>'Resid Cust Fcst '!$AS34*'Resid TSM UC Adj'!L33</f>
        <v>0</v>
      </c>
      <c r="I33" s="45">
        <f>IF(SUM(F33:H33)=0,0,SUM(F33:H33)/'Resid Cust Fcst '!AS34)</f>
        <v>0</v>
      </c>
      <c r="J33" s="137">
        <f>'Resid Cust Fcst '!$AT34*'Resid TSM UC Adj'!J33</f>
        <v>0</v>
      </c>
      <c r="K33" s="23">
        <f>'Resid Cust Fcst '!$AT34*'Resid TSM UC Adj'!K33</f>
        <v>0</v>
      </c>
      <c r="L33" s="23">
        <f>'Resid Cust Fcst '!$AT34*'Resid TSM UC Adj'!L33</f>
        <v>0</v>
      </c>
      <c r="M33" s="45">
        <f>IF(SUM(J33:L33)=0,0,SUM(J33:L33)/'Resid Cust Fcst '!AT34)</f>
        <v>0</v>
      </c>
      <c r="N33" s="137">
        <f>'Resid Cust Fcst '!$AU34*'Resid TSM UC Adj'!N33</f>
        <v>0</v>
      </c>
      <c r="O33" s="23">
        <f>'Resid Cust Fcst '!$AU34*'Resid TSM UC Adj'!O33</f>
        <v>0</v>
      </c>
      <c r="P33" s="23">
        <f>'Resid Cust Fcst '!$AU34*'Resid TSM UC Adj'!P33</f>
        <v>0</v>
      </c>
      <c r="Q33" s="45">
        <f>IF(SUM(N33:P33)=0,0,SUM(N33:P33)/'Resid Cust Fcst '!AU34)</f>
        <v>0</v>
      </c>
      <c r="R33" s="137">
        <f t="shared" si="2"/>
        <v>0</v>
      </c>
      <c r="S33" s="23">
        <f t="shared" si="2"/>
        <v>0</v>
      </c>
      <c r="T33" s="23">
        <f t="shared" si="2"/>
        <v>0</v>
      </c>
      <c r="U33" s="45">
        <f>IF(SUM(R33:T33)=0,0,SUM(R33:T33)/'Resid Cust Fcst '!AV34)</f>
        <v>0</v>
      </c>
      <c r="V33" s="137">
        <f>'Resid Cust Fcst '!$AW34*'Resid TSM UC Adj'!R33</f>
        <v>0</v>
      </c>
      <c r="W33" s="23">
        <f>'Resid Cust Fcst '!$AW34*'Resid TSM UC Adj'!S33</f>
        <v>0</v>
      </c>
      <c r="X33" s="23">
        <f>'Resid Cust Fcst '!$AW34*'Resid TSM UC Adj'!T33</f>
        <v>0</v>
      </c>
      <c r="Y33" s="45">
        <f>IF(SUM(V33:X33)=0,0,SUM(V33:X33)/'Resid Cust Fcst '!AW34)</f>
        <v>0</v>
      </c>
      <c r="Z33" s="137">
        <f t="shared" si="3"/>
        <v>0</v>
      </c>
      <c r="AA33" s="23">
        <f t="shared" si="3"/>
        <v>0</v>
      </c>
      <c r="AB33" s="23">
        <f t="shared" si="3"/>
        <v>0</v>
      </c>
      <c r="AC33" s="45">
        <f>IF(SUM(Z33:AB33)=0,0,SUM(Z33:AB33)/'Resid Cust Fcst '!AX34)</f>
        <v>0</v>
      </c>
    </row>
    <row r="34" spans="1:29">
      <c r="A34" s="153" t="s">
        <v>125</v>
      </c>
      <c r="B34" s="137">
        <f>'Resid Cust Fcst '!$AR35*'Resid TSM UC Adj'!J34</f>
        <v>0</v>
      </c>
      <c r="C34" s="23">
        <f>'Resid Cust Fcst '!$AR35*'Resid TSM UC Adj'!K34</f>
        <v>0</v>
      </c>
      <c r="D34" s="23">
        <f>'Resid Cust Fcst '!$AR35*'Resid TSM UC Adj'!L34</f>
        <v>0</v>
      </c>
      <c r="E34" s="45">
        <f>IF(SUM(B34:D34)=0,0,SUM(B34:D34)/'Resid Cust Fcst '!AR35)</f>
        <v>0</v>
      </c>
      <c r="F34" s="137">
        <f>'Resid Cust Fcst '!$AS35*'Resid TSM UC Adj'!J34</f>
        <v>0</v>
      </c>
      <c r="G34" s="23">
        <f>'Resid Cust Fcst '!$AS35*'Resid TSM UC Adj'!K34</f>
        <v>0</v>
      </c>
      <c r="H34" s="23">
        <f>'Resid Cust Fcst '!$AS35*'Resid TSM UC Adj'!L34</f>
        <v>0</v>
      </c>
      <c r="I34" s="45">
        <f>IF(SUM(F34:H34)=0,0,SUM(F34:H34)/'Resid Cust Fcst '!AS35)</f>
        <v>0</v>
      </c>
      <c r="J34" s="137">
        <f>'Resid Cust Fcst '!$AT35*'Resid TSM UC Adj'!J34</f>
        <v>0</v>
      </c>
      <c r="K34" s="23">
        <f>'Resid Cust Fcst '!$AT35*'Resid TSM UC Adj'!K34</f>
        <v>0</v>
      </c>
      <c r="L34" s="23">
        <f>'Resid Cust Fcst '!$AT35*'Resid TSM UC Adj'!L34</f>
        <v>0</v>
      </c>
      <c r="M34" s="45">
        <f>IF(SUM(J34:L34)=0,0,SUM(J34:L34)/'Resid Cust Fcst '!AT35)</f>
        <v>0</v>
      </c>
      <c r="N34" s="137">
        <f>'Resid Cust Fcst '!$AU35*'Resid TSM UC Adj'!N34</f>
        <v>0</v>
      </c>
      <c r="O34" s="23">
        <f>'Resid Cust Fcst '!$AU35*'Resid TSM UC Adj'!O34</f>
        <v>0</v>
      </c>
      <c r="P34" s="23">
        <f>'Resid Cust Fcst '!$AU35*'Resid TSM UC Adj'!P34</f>
        <v>0</v>
      </c>
      <c r="Q34" s="45">
        <f>IF(SUM(N34:P34)=0,0,SUM(N34:P34)/'Resid Cust Fcst '!AU35)</f>
        <v>0</v>
      </c>
      <c r="R34" s="137">
        <f t="shared" si="2"/>
        <v>0</v>
      </c>
      <c r="S34" s="23">
        <f t="shared" si="2"/>
        <v>0</v>
      </c>
      <c r="T34" s="23">
        <f t="shared" si="2"/>
        <v>0</v>
      </c>
      <c r="U34" s="45">
        <f>IF(SUM(R34:T34)=0,0,SUM(R34:T34)/'Resid Cust Fcst '!AV35)</f>
        <v>0</v>
      </c>
      <c r="V34" s="137">
        <f>'Resid Cust Fcst '!$AW35*'Resid TSM UC Adj'!R34</f>
        <v>0</v>
      </c>
      <c r="W34" s="23">
        <f>'Resid Cust Fcst '!$AW35*'Resid TSM UC Adj'!S34</f>
        <v>0</v>
      </c>
      <c r="X34" s="23">
        <f>'Resid Cust Fcst '!$AW35*'Resid TSM UC Adj'!T34</f>
        <v>0</v>
      </c>
      <c r="Y34" s="45">
        <f>IF(SUM(V34:X34)=0,0,SUM(V34:X34)/'Resid Cust Fcst '!AW35)</f>
        <v>0</v>
      </c>
      <c r="Z34" s="137">
        <f t="shared" si="3"/>
        <v>0</v>
      </c>
      <c r="AA34" s="23">
        <f t="shared" si="3"/>
        <v>0</v>
      </c>
      <c r="AB34" s="23">
        <f t="shared" si="3"/>
        <v>0</v>
      </c>
      <c r="AC34" s="45">
        <f>IF(SUM(Z34:AB34)=0,0,SUM(Z34:AB34)/'Resid Cust Fcst '!AX35)</f>
        <v>0</v>
      </c>
    </row>
    <row r="35" spans="1:29">
      <c r="A35" s="153" t="s">
        <v>126</v>
      </c>
      <c r="B35" s="137">
        <f>'Resid Cust Fcst '!$AR36*'Resid TSM UC Adj'!J35</f>
        <v>0</v>
      </c>
      <c r="C35" s="23">
        <f>'Resid Cust Fcst '!$AR36*'Resid TSM UC Adj'!K35</f>
        <v>0</v>
      </c>
      <c r="D35" s="23">
        <f>'Resid Cust Fcst '!$AR36*'Resid TSM UC Adj'!L35</f>
        <v>0</v>
      </c>
      <c r="E35" s="45">
        <f>IF(SUM(B35:D35)=0,0,SUM(B35:D35)/'Resid Cust Fcst '!AR36)</f>
        <v>0</v>
      </c>
      <c r="F35" s="137">
        <f>'Resid Cust Fcst '!$AS36*'Resid TSM UC Adj'!J35</f>
        <v>0</v>
      </c>
      <c r="G35" s="23">
        <f>'Resid Cust Fcst '!$AS36*'Resid TSM UC Adj'!K35</f>
        <v>0</v>
      </c>
      <c r="H35" s="23">
        <f>'Resid Cust Fcst '!$AS36*'Resid TSM UC Adj'!L35</f>
        <v>0</v>
      </c>
      <c r="I35" s="45">
        <f>IF(SUM(F35:H35)=0,0,SUM(F35:H35)/'Resid Cust Fcst '!AS36)</f>
        <v>0</v>
      </c>
      <c r="J35" s="137">
        <f>'Resid Cust Fcst '!$AT36*'Resid TSM UC Adj'!J35</f>
        <v>0</v>
      </c>
      <c r="K35" s="23">
        <f>'Resid Cust Fcst '!$AT36*'Resid TSM UC Adj'!K35</f>
        <v>0</v>
      </c>
      <c r="L35" s="23">
        <f>'Resid Cust Fcst '!$AT36*'Resid TSM UC Adj'!L35</f>
        <v>0</v>
      </c>
      <c r="M35" s="45">
        <f>IF(SUM(J35:L35)=0,0,SUM(J35:L35)/'Resid Cust Fcst '!AT36)</f>
        <v>0</v>
      </c>
      <c r="N35" s="137">
        <f>'Resid Cust Fcst '!$AU36*'Resid TSM UC Adj'!N35</f>
        <v>0</v>
      </c>
      <c r="O35" s="23">
        <f>'Resid Cust Fcst '!$AU36*'Resid TSM UC Adj'!O35</f>
        <v>0</v>
      </c>
      <c r="P35" s="23">
        <f>'Resid Cust Fcst '!$AU36*'Resid TSM UC Adj'!P35</f>
        <v>0</v>
      </c>
      <c r="Q35" s="45">
        <f>IF(SUM(N35:P35)=0,0,SUM(N35:P35)/'Resid Cust Fcst '!AU36)</f>
        <v>0</v>
      </c>
      <c r="R35" s="137">
        <f t="shared" si="2"/>
        <v>0</v>
      </c>
      <c r="S35" s="23">
        <f t="shared" si="2"/>
        <v>0</v>
      </c>
      <c r="T35" s="23">
        <f t="shared" si="2"/>
        <v>0</v>
      </c>
      <c r="U35" s="45">
        <f>IF(SUM(R35:T35)=0,0,SUM(R35:T35)/'Resid Cust Fcst '!AV36)</f>
        <v>0</v>
      </c>
      <c r="V35" s="137">
        <f>'Resid Cust Fcst '!$AW36*'Resid TSM UC Adj'!R35</f>
        <v>0</v>
      </c>
      <c r="W35" s="23">
        <f>'Resid Cust Fcst '!$AW36*'Resid TSM UC Adj'!S35</f>
        <v>0</v>
      </c>
      <c r="X35" s="23">
        <f>'Resid Cust Fcst '!$AW36*'Resid TSM UC Adj'!T35</f>
        <v>0</v>
      </c>
      <c r="Y35" s="45">
        <f>IF(SUM(V35:X35)=0,0,SUM(V35:X35)/'Resid Cust Fcst '!AW36)</f>
        <v>0</v>
      </c>
      <c r="Z35" s="137">
        <f t="shared" si="3"/>
        <v>0</v>
      </c>
      <c r="AA35" s="23">
        <f t="shared" si="3"/>
        <v>0</v>
      </c>
      <c r="AB35" s="23">
        <f t="shared" si="3"/>
        <v>0</v>
      </c>
      <c r="AC35" s="45">
        <f>IF(SUM(Z35:AB35)=0,0,SUM(Z35:AB35)/'Resid Cust Fcst '!AX36)</f>
        <v>0</v>
      </c>
    </row>
    <row r="36" spans="1:29">
      <c r="A36" s="153" t="s">
        <v>26</v>
      </c>
      <c r="B36" s="137">
        <f>'Resid Cust Fcst '!$AR37*'Resid TSM UC Adj'!J36</f>
        <v>0</v>
      </c>
      <c r="C36" s="23">
        <f>'Resid Cust Fcst '!$AR37*'Resid TSM UC Adj'!K36</f>
        <v>0</v>
      </c>
      <c r="D36" s="23">
        <f>'Resid Cust Fcst '!$AR37*'Resid TSM UC Adj'!L36</f>
        <v>0</v>
      </c>
      <c r="E36" s="45">
        <f>IF(SUM(B36:D36)=0,0,SUM(B36:D36)/'Resid Cust Fcst '!AR37)</f>
        <v>0</v>
      </c>
      <c r="F36" s="137">
        <f>'Resid Cust Fcst '!$AS37*'Resid TSM UC Adj'!J36</f>
        <v>0</v>
      </c>
      <c r="G36" s="23">
        <f>'Resid Cust Fcst '!$AS37*'Resid TSM UC Adj'!K36</f>
        <v>0</v>
      </c>
      <c r="H36" s="23">
        <f>'Resid Cust Fcst '!$AS37*'Resid TSM UC Adj'!L36</f>
        <v>0</v>
      </c>
      <c r="I36" s="45">
        <f>IF(SUM(F36:H36)=0,0,SUM(F36:H36)/'Resid Cust Fcst '!AS37)</f>
        <v>0</v>
      </c>
      <c r="J36" s="137">
        <f>'Resid Cust Fcst '!$AT37*'Resid TSM UC Adj'!J36</f>
        <v>0</v>
      </c>
      <c r="K36" s="23">
        <f>'Resid Cust Fcst '!$AT37*'Resid TSM UC Adj'!K36</f>
        <v>0</v>
      </c>
      <c r="L36" s="23">
        <f>'Resid Cust Fcst '!$AT37*'Resid TSM UC Adj'!L36</f>
        <v>0</v>
      </c>
      <c r="M36" s="45">
        <f>IF(SUM(J36:L36)=0,0,SUM(J36:L36)/'Resid Cust Fcst '!AT37)</f>
        <v>0</v>
      </c>
      <c r="N36" s="137">
        <f>'Resid Cust Fcst '!$AU37*'Resid TSM UC Adj'!N36</f>
        <v>0</v>
      </c>
      <c r="O36" s="23">
        <f>'Resid Cust Fcst '!$AU37*'Resid TSM UC Adj'!O36</f>
        <v>0</v>
      </c>
      <c r="P36" s="23">
        <f>'Resid Cust Fcst '!$AU37*'Resid TSM UC Adj'!P36</f>
        <v>0</v>
      </c>
      <c r="Q36" s="45">
        <f>IF(SUM(N36:P36)=0,0,SUM(N36:P36)/'Resid Cust Fcst '!AU37)</f>
        <v>0</v>
      </c>
      <c r="R36" s="137">
        <f t="shared" si="2"/>
        <v>0</v>
      </c>
      <c r="S36" s="23">
        <f t="shared" si="2"/>
        <v>0</v>
      </c>
      <c r="T36" s="23">
        <f t="shared" si="2"/>
        <v>0</v>
      </c>
      <c r="U36" s="45">
        <f>IF(SUM(R36:T36)=0,0,SUM(R36:T36)/'Resid Cust Fcst '!AV37)</f>
        <v>0</v>
      </c>
      <c r="V36" s="137">
        <f>'Resid Cust Fcst '!$AW37*'Resid TSM UC Adj'!R36</f>
        <v>0</v>
      </c>
      <c r="W36" s="23">
        <f>'Resid Cust Fcst '!$AW37*'Resid TSM UC Adj'!S36</f>
        <v>0</v>
      </c>
      <c r="X36" s="23">
        <f>'Resid Cust Fcst '!$AW37*'Resid TSM UC Adj'!T36</f>
        <v>0</v>
      </c>
      <c r="Y36" s="45">
        <f>IF(SUM(V36:X36)=0,0,SUM(V36:X36)/'Resid Cust Fcst '!AW37)</f>
        <v>0</v>
      </c>
      <c r="Z36" s="137">
        <f t="shared" si="3"/>
        <v>0</v>
      </c>
      <c r="AA36" s="23">
        <f t="shared" si="3"/>
        <v>0</v>
      </c>
      <c r="AB36" s="23">
        <f t="shared" si="3"/>
        <v>0</v>
      </c>
      <c r="AC36" s="45">
        <f>IF(SUM(Z36:AB36)=0,0,SUM(Z36:AB36)/'Resid Cust Fcst '!AX37)</f>
        <v>0</v>
      </c>
    </row>
    <row r="37" spans="1:29">
      <c r="A37" s="153" t="s">
        <v>27</v>
      </c>
      <c r="B37" s="137">
        <f>'Resid Cust Fcst '!$AR38*'Resid TSM UC Adj'!J37</f>
        <v>0</v>
      </c>
      <c r="C37" s="23">
        <f>'Resid Cust Fcst '!$AR38*'Resid TSM UC Adj'!K37</f>
        <v>0</v>
      </c>
      <c r="D37" s="23">
        <f>'Resid Cust Fcst '!$AR38*'Resid TSM UC Adj'!L37</f>
        <v>0</v>
      </c>
      <c r="E37" s="45">
        <f>IF(SUM(B37:D37)=0,0,SUM(B37:D37)/'Resid Cust Fcst '!AR38)</f>
        <v>0</v>
      </c>
      <c r="F37" s="137">
        <f>'Resid Cust Fcst '!$AS38*'Resid TSM UC Adj'!J37</f>
        <v>0</v>
      </c>
      <c r="G37" s="23">
        <f>'Resid Cust Fcst '!$AS38*'Resid TSM UC Adj'!K37</f>
        <v>0</v>
      </c>
      <c r="H37" s="23">
        <f>'Resid Cust Fcst '!$AS38*'Resid TSM UC Adj'!L37</f>
        <v>0</v>
      </c>
      <c r="I37" s="45">
        <f>IF(SUM(F37:H37)=0,0,SUM(F37:H37)/'Resid Cust Fcst '!AS38)</f>
        <v>0</v>
      </c>
      <c r="J37" s="137">
        <f>'Resid Cust Fcst '!$AT38*'Resid TSM UC Adj'!J37</f>
        <v>0</v>
      </c>
      <c r="K37" s="23">
        <f>'Resid Cust Fcst '!$AT38*'Resid TSM UC Adj'!K37</f>
        <v>0</v>
      </c>
      <c r="L37" s="23">
        <f>'Resid Cust Fcst '!$AT38*'Resid TSM UC Adj'!L37</f>
        <v>0</v>
      </c>
      <c r="M37" s="45">
        <f>IF(SUM(J37:L37)=0,0,SUM(J37:L37)/'Resid Cust Fcst '!AT38)</f>
        <v>0</v>
      </c>
      <c r="N37" s="137">
        <f>'Resid Cust Fcst '!$AU38*'Resid TSM UC Adj'!N37</f>
        <v>0</v>
      </c>
      <c r="O37" s="23">
        <f>'Resid Cust Fcst '!$AU38*'Resid TSM UC Adj'!O37</f>
        <v>0</v>
      </c>
      <c r="P37" s="23">
        <f>'Resid Cust Fcst '!$AU38*'Resid TSM UC Adj'!P37</f>
        <v>0</v>
      </c>
      <c r="Q37" s="45">
        <f>IF(SUM(N37:P37)=0,0,SUM(N37:P37)/'Resid Cust Fcst '!AU38)</f>
        <v>0</v>
      </c>
      <c r="R37" s="137">
        <f t="shared" si="2"/>
        <v>0</v>
      </c>
      <c r="S37" s="23">
        <f t="shared" si="2"/>
        <v>0</v>
      </c>
      <c r="T37" s="23">
        <f t="shared" si="2"/>
        <v>0</v>
      </c>
      <c r="U37" s="45">
        <f>IF(SUM(R37:T37)=0,0,SUM(R37:T37)/'Resid Cust Fcst '!AV38)</f>
        <v>0</v>
      </c>
      <c r="V37" s="137">
        <f>'Resid Cust Fcst '!$AW38*'Resid TSM UC Adj'!R37</f>
        <v>0</v>
      </c>
      <c r="W37" s="23">
        <f>'Resid Cust Fcst '!$AW38*'Resid TSM UC Adj'!S37</f>
        <v>0</v>
      </c>
      <c r="X37" s="23">
        <f>'Resid Cust Fcst '!$AW38*'Resid TSM UC Adj'!T37</f>
        <v>0</v>
      </c>
      <c r="Y37" s="45">
        <f>IF(SUM(V37:X37)=0,0,SUM(V37:X37)/'Resid Cust Fcst '!AW38)</f>
        <v>0</v>
      </c>
      <c r="Z37" s="137">
        <f t="shared" si="3"/>
        <v>0</v>
      </c>
      <c r="AA37" s="23">
        <f t="shared" si="3"/>
        <v>0</v>
      </c>
      <c r="AB37" s="23">
        <f t="shared" si="3"/>
        <v>0</v>
      </c>
      <c r="AC37" s="45">
        <f>IF(SUM(Z37:AB37)=0,0,SUM(Z37:AB37)/'Resid Cust Fcst '!AX38)</f>
        <v>0</v>
      </c>
    </row>
    <row r="38" spans="1:29" ht="13.5" thickBot="1">
      <c r="A38" s="156"/>
      <c r="B38" s="137"/>
      <c r="C38" s="23"/>
      <c r="D38" s="23"/>
      <c r="E38" s="45"/>
      <c r="F38" s="137"/>
      <c r="G38" s="23"/>
      <c r="H38" s="23"/>
      <c r="I38" s="45"/>
      <c r="J38" s="137"/>
      <c r="K38" s="23"/>
      <c r="L38" s="23"/>
      <c r="M38" s="45"/>
      <c r="N38" s="137"/>
      <c r="O38" s="23"/>
      <c r="P38" s="23"/>
      <c r="Q38" s="45"/>
      <c r="R38" s="244"/>
      <c r="S38" s="240"/>
      <c r="T38" s="240"/>
      <c r="U38" s="249"/>
      <c r="V38" s="137"/>
      <c r="W38" s="23"/>
      <c r="X38" s="23"/>
      <c r="Y38" s="45"/>
      <c r="Z38" s="137"/>
      <c r="AA38" s="23"/>
      <c r="AB38" s="23"/>
      <c r="AC38" s="45"/>
    </row>
    <row r="39" spans="1:29" ht="13.5" thickBot="1">
      <c r="A39" s="245" t="s">
        <v>2</v>
      </c>
      <c r="B39" s="317">
        <f>IF(SUM(B7:B37)=0,0,SUM(B7:B37)/'Resid Cust Fcst '!$AR$40)</f>
        <v>704.86444766064608</v>
      </c>
      <c r="C39" s="318">
        <f>IF(SUM(C7:C37)=0,0,SUM(C7:C37)/'Resid Cust Fcst '!$AR$40)</f>
        <v>161.96952648561546</v>
      </c>
      <c r="D39" s="318">
        <f>IF(SUM(D7:D37)=0,0,SUM(D7:D37)/'Resid Cust Fcst '!$AR$40)</f>
        <v>246.24333484162895</v>
      </c>
      <c r="E39" s="319">
        <f>SUM(B39:D39)</f>
        <v>1113.0773089878905</v>
      </c>
      <c r="F39" s="317">
        <f>IF(SUM(F7:F37)=0,0,SUM(F7:F37)/'Resid Cust Fcst '!$AS$40)</f>
        <v>872.94432902334779</v>
      </c>
      <c r="G39" s="318">
        <f>IF(SUM(G7:G37)=0,0,SUM(G7:G37)/'Resid Cust Fcst '!$AS$40)</f>
        <v>754.14273000301057</v>
      </c>
      <c r="H39" s="318">
        <f>IF(SUM(H7:H37)=0,0,SUM(H7:H37)/'Resid Cust Fcst '!$AS$40)</f>
        <v>373.18</v>
      </c>
      <c r="I39" s="319">
        <f>SUM(F39:H39)</f>
        <v>2000.2670590263585</v>
      </c>
      <c r="J39" s="317">
        <f>IF(SUM(J7:J37)=0,0,SUM(J7:J37)/'Resid Cust Fcst '!$AT$40)</f>
        <v>859.35520830198607</v>
      </c>
      <c r="K39" s="318">
        <f>IF(SUM(K7:K37)=0,0,SUM(K7:K37)/'Resid Cust Fcst '!$AT$40)</f>
        <v>787.67845383441249</v>
      </c>
      <c r="L39" s="318">
        <f>IF(SUM(L7:L37)=0,0,SUM(L7:L37)/'Resid Cust Fcst '!$AT$40)</f>
        <v>373.17999999999995</v>
      </c>
      <c r="M39" s="319">
        <f>SUM(J39:L39)</f>
        <v>2020.2136621363984</v>
      </c>
      <c r="N39" s="317">
        <f>IF(SUM(N7:N37)=0,0,SUM(N7:N37)/'Resid Cust Fcst '!$AU$40)</f>
        <v>0</v>
      </c>
      <c r="O39" s="318">
        <f>IF(SUM(O7:O37)=0,0,SUM(O7:O37)/'Resid Cust Fcst '!$AU$40)</f>
        <v>0</v>
      </c>
      <c r="P39" s="318">
        <f>IF(SUM(P7:P37)=0,0,SUM(P7:P37)/'Resid Cust Fcst '!$AU$40)</f>
        <v>0</v>
      </c>
      <c r="Q39" s="319">
        <f>SUM(N39:P39)</f>
        <v>0</v>
      </c>
      <c r="R39" s="317">
        <f>IF(SUM(R7:R37)=0,0,SUM(R7:R37)/'Resid Cust Fcst '!$AV$40)</f>
        <v>705.17527475085933</v>
      </c>
      <c r="S39" s="318">
        <f>IF(SUM(S7:S37)=0,0,SUM(S7:S37)/'Resid Cust Fcst '!$AV$40)</f>
        <v>163.20881021869224</v>
      </c>
      <c r="T39" s="318">
        <f>IF(SUM(T7:T37)=0,0,SUM(T7:T37)/'Resid Cust Fcst '!$AV$40)</f>
        <v>246.4962527044639</v>
      </c>
      <c r="U39" s="319">
        <f>SUM(R39:T39)</f>
        <v>1114.8803376740154</v>
      </c>
      <c r="V39" s="317">
        <f>IF(SUM(V7:V37)=0,0,SUM(V7:V37)/'Resid Cust Fcst '!$AW$40)</f>
        <v>0</v>
      </c>
      <c r="W39" s="318">
        <f>IF(SUM(W7:W37)=0,0,SUM(W7:W37)/'Resid Cust Fcst '!$AW$40)</f>
        <v>0</v>
      </c>
      <c r="X39" s="318">
        <f>IF(SUM(X7:X37)=0,0,SUM(X7:X37)/'Resid Cust Fcst '!$AW$40)</f>
        <v>0</v>
      </c>
      <c r="Y39" s="319">
        <f>SUM(V39:X39)</f>
        <v>0</v>
      </c>
      <c r="Z39" s="317">
        <f>IF(SUM(Z7:Z37)=0,0,SUM(Z7:Z37)/'Resid Cust Fcst '!$AX$40)</f>
        <v>705.17527475085933</v>
      </c>
      <c r="AA39" s="318">
        <f>IF(SUM(AA7:AA37)=0,0,SUM(AA7:AA37)/'Resid Cust Fcst '!$AX$40)</f>
        <v>163.20881021869224</v>
      </c>
      <c r="AB39" s="318">
        <f>IF(SUM(AB7:AB37)=0,0,SUM(AB7:AB37)/'Resid Cust Fcst '!$AX$40)</f>
        <v>246.4962527044639</v>
      </c>
      <c r="AC39" s="319">
        <f>SUM(Z39:AB39)</f>
        <v>1114.8803376740154</v>
      </c>
    </row>
    <row r="40" spans="1:29">
      <c r="A40" s="55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</row>
    <row r="41" spans="1:29">
      <c r="A41" s="340" t="s">
        <v>102</v>
      </c>
      <c r="B41" s="18"/>
      <c r="C41" s="18"/>
      <c r="D41" s="18"/>
      <c r="E41" s="23">
        <f>IF(SUM(B7:D37)=0,0,SUM(B7:D37)/'Resid Cust Fcst '!AR40)-E39</f>
        <v>0</v>
      </c>
      <c r="F41" s="18"/>
      <c r="G41" s="18"/>
      <c r="H41" s="18"/>
      <c r="I41" s="23">
        <f>IF(SUM(F7:H37)=0,0,SUM(F7:H37)/'Resid Cust Fcst '!AS40)-I39</f>
        <v>0</v>
      </c>
      <c r="J41" s="18"/>
      <c r="K41" s="18"/>
      <c r="L41" s="18"/>
      <c r="M41" s="23">
        <f>IF(SUM(J7:L37)=0,0,SUM(J7:L37)/'Resid Cust Fcst '!AT40)-M39</f>
        <v>0</v>
      </c>
      <c r="N41" s="18"/>
      <c r="O41" s="18"/>
      <c r="P41" s="18"/>
      <c r="Q41" s="23">
        <f>IF(SUM(N7:P37)=0,0,SUM(N7:P37)/'Resid Cust Fcst '!AU40)-Q39</f>
        <v>0</v>
      </c>
      <c r="R41" s="18"/>
      <c r="S41" s="18"/>
      <c r="T41" s="18"/>
      <c r="U41" s="23">
        <f>IF(SUM(R7:T37)=0,0,SUM(R7:T37)/'Resid Cust Fcst '!AV40)-U39</f>
        <v>0</v>
      </c>
      <c r="V41" s="18"/>
      <c r="W41" s="18"/>
      <c r="X41" s="18"/>
      <c r="Y41" s="23">
        <f>IF(SUM(V7:X37)=0,0,SUM(V7:X37)/'Resid Cust Fcst '!AW40)-Y39</f>
        <v>0</v>
      </c>
      <c r="Z41" s="18"/>
      <c r="AA41" s="18"/>
      <c r="AB41" s="18"/>
      <c r="AC41" s="23">
        <f>IF(SUM(Z7:AB37)=0,0,SUM(Z7:AB37)/'Resid Cust Fcst '!AX40)-AC39</f>
        <v>0</v>
      </c>
    </row>
    <row r="42" spans="1:29">
      <c r="N42" s="56"/>
      <c r="O42" s="56"/>
      <c r="P42" s="56"/>
    </row>
    <row r="43" spans="1:29">
      <c r="N43" s="56"/>
      <c r="O43" s="56"/>
      <c r="P43" s="56"/>
    </row>
    <row r="44" spans="1:29">
      <c r="A44" s="19"/>
      <c r="N44" s="18"/>
      <c r="O44" s="18"/>
      <c r="P44" s="18"/>
    </row>
    <row r="56" spans="1:1">
      <c r="A56" s="19"/>
    </row>
  </sheetData>
  <mergeCells count="9">
    <mergeCell ref="A1:Y1"/>
    <mergeCell ref="B2:U2"/>
    <mergeCell ref="V2:Y2"/>
    <mergeCell ref="Z2:AC2"/>
    <mergeCell ref="B3:E3"/>
    <mergeCell ref="F3:I3"/>
    <mergeCell ref="J3:M3"/>
    <mergeCell ref="N3:Q3"/>
    <mergeCell ref="R3:U3"/>
  </mergeCells>
  <printOptions horizontalCentered="1"/>
  <pageMargins left="0.75" right="0.75" top="1" bottom="1" header="0.5" footer="0.5"/>
  <pageSetup scale="40" orientation="portrait" r:id="rId1"/>
  <headerFooter alignWithMargins="0">
    <oddFooter>&amp;L&amp;F
&amp;A&amp;R&amp;P of &amp;N</oddFooter>
  </headerFooter>
  <colBreaks count="1" manualBreakCount="1">
    <brk id="17" max="38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4">
    <tabColor rgb="FFC00000"/>
  </sheetPr>
  <dimension ref="A1:AC56"/>
  <sheetViews>
    <sheetView zoomScaleNormal="100" workbookViewId="0">
      <selection activeCell="D12" sqref="D12"/>
    </sheetView>
  </sheetViews>
  <sheetFormatPr defaultRowHeight="12.75"/>
  <cols>
    <col min="1" max="1" width="39" customWidth="1"/>
    <col min="2" max="2" width="12.85546875" bestFit="1" customWidth="1"/>
    <col min="3" max="3" width="11.28515625" bestFit="1" customWidth="1"/>
    <col min="4" max="4" width="12.28515625" bestFit="1" customWidth="1"/>
    <col min="5" max="5" width="9.28515625" bestFit="1" customWidth="1"/>
    <col min="6" max="6" width="12.85546875" bestFit="1" customWidth="1"/>
    <col min="7" max="7" width="11.28515625" bestFit="1" customWidth="1"/>
    <col min="8" max="8" width="10.28515625" bestFit="1" customWidth="1"/>
    <col min="9" max="9" width="11.28515625" bestFit="1" customWidth="1"/>
    <col min="10" max="10" width="12.85546875" customWidth="1"/>
    <col min="11" max="11" width="12.28515625" customWidth="1"/>
    <col min="12" max="12" width="12.28515625" bestFit="1" customWidth="1"/>
    <col min="13" max="13" width="10.28515625" bestFit="1" customWidth="1"/>
    <col min="14" max="14" width="12.85546875" customWidth="1"/>
    <col min="15" max="15" width="10" customWidth="1"/>
    <col min="16" max="17" width="10.28515625" bestFit="1" customWidth="1"/>
    <col min="18" max="18" width="12.85546875" bestFit="1" customWidth="1"/>
    <col min="19" max="20" width="12.28515625" bestFit="1" customWidth="1"/>
    <col min="21" max="21" width="11.28515625" bestFit="1" customWidth="1"/>
    <col min="22" max="22" width="12.85546875" bestFit="1" customWidth="1"/>
    <col min="23" max="25" width="10.28515625" customWidth="1"/>
    <col min="26" max="29" width="13.85546875" customWidth="1"/>
  </cols>
  <sheetData>
    <row r="1" spans="1:29" ht="18.75" thickBot="1">
      <c r="A1" s="841" t="s">
        <v>92</v>
      </c>
      <c r="B1" s="841"/>
      <c r="C1" s="841"/>
      <c r="D1" s="841"/>
      <c r="E1" s="841"/>
      <c r="F1" s="841"/>
      <c r="G1" s="841"/>
      <c r="H1" s="841"/>
      <c r="I1" s="841"/>
      <c r="J1" s="841"/>
      <c r="K1" s="841"/>
      <c r="L1" s="841"/>
      <c r="M1" s="841"/>
      <c r="N1" s="841"/>
      <c r="O1" s="841"/>
      <c r="P1" s="841"/>
      <c r="Q1" s="841"/>
      <c r="R1" s="841"/>
      <c r="S1" s="841"/>
      <c r="T1" s="841"/>
      <c r="U1" s="841"/>
      <c r="V1" s="841"/>
      <c r="W1" s="841"/>
      <c r="X1" s="841"/>
      <c r="Y1" s="841"/>
    </row>
    <row r="2" spans="1:29" ht="13.5" thickBot="1">
      <c r="A2" s="131"/>
      <c r="B2" s="834" t="s">
        <v>132</v>
      </c>
      <c r="C2" s="835"/>
      <c r="D2" s="835"/>
      <c r="E2" s="835"/>
      <c r="F2" s="835"/>
      <c r="G2" s="835"/>
      <c r="H2" s="835"/>
      <c r="I2" s="835"/>
      <c r="J2" s="835"/>
      <c r="K2" s="835"/>
      <c r="L2" s="835"/>
      <c r="M2" s="835"/>
      <c r="N2" s="835"/>
      <c r="O2" s="835"/>
      <c r="P2" s="835"/>
      <c r="Q2" s="835"/>
      <c r="R2" s="835"/>
      <c r="S2" s="835"/>
      <c r="T2" s="835"/>
      <c r="U2" s="837"/>
      <c r="V2" s="834" t="s">
        <v>133</v>
      </c>
      <c r="W2" s="835"/>
      <c r="X2" s="835"/>
      <c r="Y2" s="837"/>
      <c r="Z2" s="834" t="s">
        <v>152</v>
      </c>
      <c r="AA2" s="835"/>
      <c r="AB2" s="835"/>
      <c r="AC2" s="837"/>
    </row>
    <row r="3" spans="1:29">
      <c r="A3" s="196"/>
      <c r="B3" s="842" t="s">
        <v>127</v>
      </c>
      <c r="C3" s="843"/>
      <c r="D3" s="843"/>
      <c r="E3" s="844"/>
      <c r="F3" s="842" t="s">
        <v>114</v>
      </c>
      <c r="G3" s="843"/>
      <c r="H3" s="843"/>
      <c r="I3" s="844"/>
      <c r="J3" s="842" t="s">
        <v>115</v>
      </c>
      <c r="K3" s="843"/>
      <c r="L3" s="843"/>
      <c r="M3" s="844"/>
      <c r="N3" s="842" t="s">
        <v>113</v>
      </c>
      <c r="O3" s="843"/>
      <c r="P3" s="843"/>
      <c r="Q3" s="844"/>
      <c r="R3" s="836" t="s">
        <v>138</v>
      </c>
      <c r="S3" s="843"/>
      <c r="T3" s="843"/>
      <c r="U3" s="844"/>
      <c r="V3" s="345"/>
      <c r="W3" s="346"/>
      <c r="X3" s="346"/>
      <c r="Y3" s="347"/>
      <c r="Z3" s="345"/>
      <c r="AA3" s="346"/>
      <c r="AB3" s="346"/>
      <c r="AC3" s="347"/>
    </row>
    <row r="4" spans="1:29" ht="13.5" thickBot="1">
      <c r="A4" s="102" t="s">
        <v>4</v>
      </c>
      <c r="B4" s="348" t="s">
        <v>36</v>
      </c>
      <c r="C4" s="349" t="s">
        <v>37</v>
      </c>
      <c r="D4" s="349" t="s">
        <v>38</v>
      </c>
      <c r="E4" s="350" t="s">
        <v>41</v>
      </c>
      <c r="F4" s="348" t="s">
        <v>36</v>
      </c>
      <c r="G4" s="349" t="s">
        <v>37</v>
      </c>
      <c r="H4" s="349" t="s">
        <v>38</v>
      </c>
      <c r="I4" s="350" t="s">
        <v>41</v>
      </c>
      <c r="J4" s="348" t="s">
        <v>36</v>
      </c>
      <c r="K4" s="349" t="s">
        <v>37</v>
      </c>
      <c r="L4" s="349" t="s">
        <v>40</v>
      </c>
      <c r="M4" s="350" t="s">
        <v>41</v>
      </c>
      <c r="N4" s="348" t="s">
        <v>36</v>
      </c>
      <c r="O4" s="349" t="s">
        <v>37</v>
      </c>
      <c r="P4" s="349" t="s">
        <v>40</v>
      </c>
      <c r="Q4" s="350" t="s">
        <v>41</v>
      </c>
      <c r="R4" s="348" t="s">
        <v>36</v>
      </c>
      <c r="S4" s="349" t="s">
        <v>37</v>
      </c>
      <c r="T4" s="349" t="s">
        <v>38</v>
      </c>
      <c r="U4" s="350" t="s">
        <v>41</v>
      </c>
      <c r="V4" s="348" t="s">
        <v>36</v>
      </c>
      <c r="W4" s="349" t="s">
        <v>37</v>
      </c>
      <c r="X4" s="349" t="s">
        <v>40</v>
      </c>
      <c r="Y4" s="350" t="s">
        <v>41</v>
      </c>
      <c r="Z4" s="348" t="s">
        <v>36</v>
      </c>
      <c r="AA4" s="349" t="s">
        <v>37</v>
      </c>
      <c r="AB4" s="349" t="s">
        <v>40</v>
      </c>
      <c r="AC4" s="350" t="s">
        <v>41</v>
      </c>
    </row>
    <row r="5" spans="1:29">
      <c r="A5" s="133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5" t="s">
        <v>42</v>
      </c>
      <c r="K5" s="6" t="s">
        <v>42</v>
      </c>
      <c r="L5" s="6" t="s">
        <v>42</v>
      </c>
      <c r="M5" s="7" t="s">
        <v>43</v>
      </c>
      <c r="N5" s="5" t="s">
        <v>42</v>
      </c>
      <c r="O5" s="6" t="s">
        <v>42</v>
      </c>
      <c r="P5" s="6" t="s">
        <v>42</v>
      </c>
      <c r="Q5" s="7" t="s">
        <v>43</v>
      </c>
      <c r="R5" s="5" t="s">
        <v>42</v>
      </c>
      <c r="S5" s="6" t="s">
        <v>42</v>
      </c>
      <c r="T5" s="6" t="s">
        <v>42</v>
      </c>
      <c r="U5" s="7" t="s">
        <v>43</v>
      </c>
      <c r="V5" s="132" t="s">
        <v>42</v>
      </c>
      <c r="W5" s="8" t="s">
        <v>42</v>
      </c>
      <c r="X5" s="8" t="s">
        <v>42</v>
      </c>
      <c r="Y5" s="9" t="s">
        <v>43</v>
      </c>
      <c r="Z5" s="132" t="s">
        <v>42</v>
      </c>
      <c r="AA5" s="8" t="s">
        <v>42</v>
      </c>
      <c r="AB5" s="8" t="s">
        <v>42</v>
      </c>
      <c r="AC5" s="9" t="s">
        <v>43</v>
      </c>
    </row>
    <row r="6" spans="1:29">
      <c r="A6" s="112"/>
      <c r="B6" s="132"/>
      <c r="C6" s="8"/>
      <c r="D6" s="8"/>
      <c r="E6" s="9"/>
      <c r="F6" s="132"/>
      <c r="G6" s="8"/>
      <c r="H6" s="8"/>
      <c r="I6" s="9"/>
      <c r="J6" s="132"/>
      <c r="K6" s="8"/>
      <c r="L6" s="8"/>
      <c r="M6" s="9"/>
      <c r="N6" s="132"/>
      <c r="O6" s="8"/>
      <c r="P6" s="8"/>
      <c r="Q6" s="9"/>
      <c r="R6" s="132"/>
      <c r="S6" s="8"/>
      <c r="T6" s="8"/>
      <c r="U6" s="9"/>
      <c r="V6" s="132"/>
      <c r="W6" s="8"/>
      <c r="X6" s="8"/>
      <c r="Y6" s="9"/>
      <c r="Z6" s="132"/>
      <c r="AA6" s="8"/>
      <c r="AB6" s="8"/>
      <c r="AC6" s="9"/>
    </row>
    <row r="7" spans="1:29">
      <c r="A7" s="153" t="s">
        <v>5</v>
      </c>
      <c r="B7" s="137">
        <f>'Resid Cust Fcst '!$AY8*'Resid TSM UC Adj'!B7</f>
        <v>8097.9045908334638</v>
      </c>
      <c r="C7" s="23">
        <f>'Resid Cust Fcst '!$AY8*'Resid TSM UC Adj'!C7</f>
        <v>4577.5296932189522</v>
      </c>
      <c r="D7" s="23">
        <f>'Resid Cust Fcst '!$AY8*'Resid TSM UC Adj'!D7</f>
        <v>8126.0300497737553</v>
      </c>
      <c r="E7" s="45">
        <f>IF(SUM(B7:D7)=0,0,SUM(B7:D7)/'Resid Cust Fcst '!AY8)</f>
        <v>630.34740405533853</v>
      </c>
      <c r="F7" s="137">
        <f>'Resid Cust Fcst '!$AZ8*'Resid TSM UC Adj'!F7</f>
        <v>0</v>
      </c>
      <c r="G7" s="23">
        <f>'Resid Cust Fcst '!$AZ8*'Resid TSM UC Adj'!G7</f>
        <v>0</v>
      </c>
      <c r="H7" s="23">
        <f>'Resid Cust Fcst '!$AZ8*'Resid TSM UC Adj'!H7</f>
        <v>0</v>
      </c>
      <c r="I7" s="45">
        <f>IF(SUM(F7:H7)=0,0,SUM(F7:H7)/'Resid Cust Fcst '!AZ8)</f>
        <v>0</v>
      </c>
      <c r="J7" s="137">
        <f>'Resid Cust Fcst '!$BA8*'Resid TSM UC Adj'!J7</f>
        <v>0</v>
      </c>
      <c r="K7" s="23">
        <f>'Resid Cust Fcst '!$BA8*'Resid TSM UC Adj'!K7</f>
        <v>0</v>
      </c>
      <c r="L7" s="23">
        <f>'Resid Cust Fcst '!$BA8*'Resid TSM UC Adj'!L7</f>
        <v>0</v>
      </c>
      <c r="M7" s="45">
        <f>IF(SUM(J7:L7)=0,0,SUM(J7:L7)/'Resid Cust Fcst '!BA8)</f>
        <v>0</v>
      </c>
      <c r="N7" s="137">
        <f>'Resid Cust Fcst '!$BB8*'Resid TSM UC Adj'!N7</f>
        <v>0</v>
      </c>
      <c r="O7" s="23">
        <f>'Resid Cust Fcst '!$BB8*'Resid TSM UC Adj'!O7</f>
        <v>0</v>
      </c>
      <c r="P7" s="23">
        <f>'Resid Cust Fcst '!$BB8*'Resid TSM UC Adj'!P7</f>
        <v>0</v>
      </c>
      <c r="Q7" s="45">
        <f>IF(SUM(N7:P7)=0,0,SUM(N7:P7)/'Resid Cust Fcst '!BB8)</f>
        <v>0</v>
      </c>
      <c r="R7" s="137">
        <f>B7+F7+J7+N7</f>
        <v>8097.9045908334638</v>
      </c>
      <c r="S7" s="23">
        <f t="shared" ref="S7:T22" si="0">C7+G7+K7+O7</f>
        <v>4577.5296932189522</v>
      </c>
      <c r="T7" s="23">
        <f t="shared" si="0"/>
        <v>8126.0300497737553</v>
      </c>
      <c r="U7" s="45">
        <f>IF(SUM(R7:T7)=0,0,SUM(R7:T7)/'Resid Cust Fcst '!BC8)</f>
        <v>630.34740405533853</v>
      </c>
      <c r="V7" s="137">
        <f>'Resid Cust Fcst '!$BD8*'Resid TSM UC Adj'!R7</f>
        <v>0</v>
      </c>
      <c r="W7" s="23">
        <f>'Resid Cust Fcst '!$BD8*'Resid TSM UC Adj'!S7</f>
        <v>0</v>
      </c>
      <c r="X7" s="23">
        <f>'Resid Cust Fcst '!$BD8*'Resid TSM UC Adj'!T7</f>
        <v>0</v>
      </c>
      <c r="Y7" s="45">
        <f>IF(SUM(V7:X7)=0,0,SUM(V7:X7)/'Resid Cust Fcst '!BD8)</f>
        <v>0</v>
      </c>
      <c r="Z7" s="137">
        <f>R7+V7</f>
        <v>8097.9045908334638</v>
      </c>
      <c r="AA7" s="23">
        <f t="shared" ref="AA7:AB22" si="1">S7+W7</f>
        <v>4577.5296932189522</v>
      </c>
      <c r="AB7" s="23">
        <f t="shared" si="1"/>
        <v>8126.0300497737553</v>
      </c>
      <c r="AC7" s="45">
        <f>IF(SUM(Z7:AB7)=0,0,SUM(Z7:AB7)/'Resid Cust Fcst '!BE8)</f>
        <v>630.34740405533853</v>
      </c>
    </row>
    <row r="8" spans="1:29">
      <c r="A8" s="155" t="s">
        <v>6</v>
      </c>
      <c r="B8" s="137">
        <f>'Resid Cust Fcst '!$AY9*'Resid TSM UC Adj'!B8</f>
        <v>654773.42834453436</v>
      </c>
      <c r="C8" s="23">
        <f>'Resid Cust Fcst '!$AY9*'Resid TSM UC Adj'!C8</f>
        <v>117767.35483463304</v>
      </c>
      <c r="D8" s="23">
        <f>'Resid Cust Fcst '!$AY9*'Resid TSM UC Adj'!D8</f>
        <v>209060.59128054298</v>
      </c>
      <c r="E8" s="45">
        <f>IF(SUM(B8:D8)=0,0,SUM(B8:D8)/'Resid Cust Fcst '!AY9)</f>
        <v>1156.1853644990699</v>
      </c>
      <c r="F8" s="137">
        <f>'Resid Cust Fcst '!$AZ9*'Resid TSM UC Adj'!F8</f>
        <v>0</v>
      </c>
      <c r="G8" s="23">
        <f>'Resid Cust Fcst '!$AZ9*'Resid TSM UC Adj'!G8</f>
        <v>0</v>
      </c>
      <c r="H8" s="23">
        <f>'Resid Cust Fcst '!$AZ9*'Resid TSM UC Adj'!H8</f>
        <v>0</v>
      </c>
      <c r="I8" s="45">
        <f>IF(SUM(F8:H8)=0,0,SUM(F8:H8)/'Resid Cust Fcst '!AZ9)</f>
        <v>0</v>
      </c>
      <c r="J8" s="137">
        <f>'Resid Cust Fcst '!$BA9*'Resid TSM UC Adj'!J8</f>
        <v>0</v>
      </c>
      <c r="K8" s="23">
        <f>'Resid Cust Fcst '!$BA9*'Resid TSM UC Adj'!K8</f>
        <v>0</v>
      </c>
      <c r="L8" s="23">
        <f>'Resid Cust Fcst '!$BA9*'Resid TSM UC Adj'!L8</f>
        <v>0</v>
      </c>
      <c r="M8" s="45">
        <f>IF(SUM(J8:L8)=0,0,SUM(J8:L8)/'Resid Cust Fcst '!BA9)</f>
        <v>0</v>
      </c>
      <c r="N8" s="137">
        <f>'Resid Cust Fcst '!$BB9*'Resid TSM UC Adj'!N8</f>
        <v>0</v>
      </c>
      <c r="O8" s="23">
        <f>'Resid Cust Fcst '!$BB9*'Resid TSM UC Adj'!O8</f>
        <v>0</v>
      </c>
      <c r="P8" s="23">
        <f>'Resid Cust Fcst '!$BB9*'Resid TSM UC Adj'!P8</f>
        <v>0</v>
      </c>
      <c r="Q8" s="45">
        <f>IF(SUM(N8:P8)=0,0,SUM(N8:P8)/'Resid Cust Fcst '!BB9)</f>
        <v>0</v>
      </c>
      <c r="R8" s="137">
        <f t="shared" ref="R8:R37" si="2">B8+F8+J8+N8</f>
        <v>654773.42834453436</v>
      </c>
      <c r="S8" s="23">
        <f t="shared" si="0"/>
        <v>117767.35483463304</v>
      </c>
      <c r="T8" s="23">
        <f t="shared" si="0"/>
        <v>209060.59128054298</v>
      </c>
      <c r="U8" s="45">
        <f>IF(SUM(R8:T8)=0,0,SUM(R8:T8)/'Resid Cust Fcst '!BC9)</f>
        <v>1156.1853644990699</v>
      </c>
      <c r="V8" s="137">
        <f>'Resid Cust Fcst '!$BD9*'Resid TSM UC Adj'!R8</f>
        <v>0</v>
      </c>
      <c r="W8" s="23">
        <f>'Resid Cust Fcst '!$BD9*'Resid TSM UC Adj'!S8</f>
        <v>0</v>
      </c>
      <c r="X8" s="23">
        <f>'Resid Cust Fcst '!$BD9*'Resid TSM UC Adj'!T8</f>
        <v>0</v>
      </c>
      <c r="Y8" s="45">
        <f>IF(SUM(V8:X8)=0,0,SUM(V8:X8)/'Resid Cust Fcst '!BD9)</f>
        <v>0</v>
      </c>
      <c r="Z8" s="137">
        <f t="shared" ref="Z8:Z37" si="3">R8+V8</f>
        <v>654773.42834453436</v>
      </c>
      <c r="AA8" s="23">
        <f t="shared" si="1"/>
        <v>117767.35483463304</v>
      </c>
      <c r="AB8" s="23">
        <f t="shared" si="1"/>
        <v>209060.59128054298</v>
      </c>
      <c r="AC8" s="45">
        <f>IF(SUM(Z8:AB8)=0,0,SUM(Z8:AB8)/'Resid Cust Fcst '!BE9)</f>
        <v>1156.1853644990699</v>
      </c>
    </row>
    <row r="9" spans="1:29">
      <c r="A9" s="155" t="s">
        <v>7</v>
      </c>
      <c r="B9" s="137">
        <f>'Resid Cust Fcst '!$AY10*'Resid TSM UC Adj'!B9</f>
        <v>1330755.6544269659</v>
      </c>
      <c r="C9" s="23">
        <f>'Resid Cust Fcst '!$AY10*'Resid TSM UC Adj'!C9</f>
        <v>385569.95985016803</v>
      </c>
      <c r="D9" s="23">
        <f>'Resid Cust Fcst '!$AY10*'Resid TSM UC Adj'!D9</f>
        <v>485591.8563076923</v>
      </c>
      <c r="E9" s="45">
        <f>IF(SUM(B9:D9)=0,0,SUM(B9:D9)/'Resid Cust Fcst '!AY10)</f>
        <v>1116.5910094243541</v>
      </c>
      <c r="F9" s="137">
        <f>'Resid Cust Fcst '!$AZ10*'Resid TSM UC Adj'!F9</f>
        <v>1745.8886580466956</v>
      </c>
      <c r="G9" s="23">
        <f>'Resid Cust Fcst '!$AZ10*'Resid TSM UC Adj'!G9</f>
        <v>888.28562532861781</v>
      </c>
      <c r="H9" s="23">
        <f>'Resid Cust Fcst '!$AZ10*'Resid TSM UC Adj'!H9</f>
        <v>373.18</v>
      </c>
      <c r="I9" s="45">
        <f>IF(SUM(F9:H9)=0,0,SUM(F9:H9)/'Resid Cust Fcst '!AZ10)</f>
        <v>3007.3542833753131</v>
      </c>
      <c r="J9" s="137">
        <f>'Resid Cust Fcst '!$BA10*'Resid TSM UC Adj'!J9</f>
        <v>0</v>
      </c>
      <c r="K9" s="23">
        <f>'Resid Cust Fcst '!$BA10*'Resid TSM UC Adj'!K9</f>
        <v>0</v>
      </c>
      <c r="L9" s="23">
        <f>'Resid Cust Fcst '!$BA10*'Resid TSM UC Adj'!L9</f>
        <v>0</v>
      </c>
      <c r="M9" s="45">
        <f>IF(SUM(J9:L9)=0,0,SUM(J9:L9)/'Resid Cust Fcst '!BA10)</f>
        <v>0</v>
      </c>
      <c r="N9" s="137">
        <f>'Resid Cust Fcst '!$BB10*'Resid TSM UC Adj'!N9</f>
        <v>0</v>
      </c>
      <c r="O9" s="23">
        <f>'Resid Cust Fcst '!$BB10*'Resid TSM UC Adj'!O9</f>
        <v>0</v>
      </c>
      <c r="P9" s="23">
        <f>'Resid Cust Fcst '!$BB10*'Resid TSM UC Adj'!P9</f>
        <v>0</v>
      </c>
      <c r="Q9" s="45">
        <f>IF(SUM(N9:P9)=0,0,SUM(N9:P9)/'Resid Cust Fcst '!BB10)</f>
        <v>0</v>
      </c>
      <c r="R9" s="137">
        <f t="shared" si="2"/>
        <v>1332501.5430850126</v>
      </c>
      <c r="S9" s="23">
        <f t="shared" si="0"/>
        <v>386458.24547549663</v>
      </c>
      <c r="T9" s="23">
        <f t="shared" si="0"/>
        <v>485965.03630769229</v>
      </c>
      <c r="U9" s="45">
        <f>IF(SUM(R9:T9)=0,0,SUM(R9:T9)/'Resid Cust Fcst '!BC10)</f>
        <v>1117.549328367056</v>
      </c>
      <c r="V9" s="137">
        <f>'Resid Cust Fcst '!$BD10*'Resid TSM UC Adj'!R9</f>
        <v>0</v>
      </c>
      <c r="W9" s="23">
        <f>'Resid Cust Fcst '!$BD10*'Resid TSM UC Adj'!S9</f>
        <v>0</v>
      </c>
      <c r="X9" s="23">
        <f>'Resid Cust Fcst '!$BD10*'Resid TSM UC Adj'!T9</f>
        <v>0</v>
      </c>
      <c r="Y9" s="45">
        <f>IF(SUM(V9:X9)=0,0,SUM(V9:X9)/'Resid Cust Fcst '!BD10)</f>
        <v>0</v>
      </c>
      <c r="Z9" s="137">
        <f t="shared" si="3"/>
        <v>1332501.5430850126</v>
      </c>
      <c r="AA9" s="23">
        <f t="shared" si="1"/>
        <v>386458.24547549663</v>
      </c>
      <c r="AB9" s="23">
        <f t="shared" si="1"/>
        <v>485965.03630769229</v>
      </c>
      <c r="AC9" s="45">
        <f>IF(SUM(Z9:AB9)=0,0,SUM(Z9:AB9)/'Resid Cust Fcst '!BE10)</f>
        <v>1117.549328367056</v>
      </c>
    </row>
    <row r="10" spans="1:29" s="58" customFormat="1">
      <c r="A10" s="288" t="s">
        <v>124</v>
      </c>
      <c r="B10" s="137">
        <f>'Resid Cust Fcst '!$AY11*'Resid TSM UC Adj'!B10</f>
        <v>811140.10984848533</v>
      </c>
      <c r="C10" s="23">
        <f>'Resid Cust Fcst '!$AY11*'Resid TSM UC Adj'!C10</f>
        <v>128452.8107056119</v>
      </c>
      <c r="D10" s="23">
        <f>'Resid Cust Fcst '!$AY11*'Resid TSM UC Adj'!D10</f>
        <v>147992.244239819</v>
      </c>
      <c r="E10" s="45">
        <f>IF(SUM(B10:D10)=0,0,SUM(B10:D10)/'Resid Cust Fcst '!AY11)</f>
        <v>1809.6258981595945</v>
      </c>
      <c r="F10" s="137">
        <f>'Resid Cust Fcst '!$AZ11*'Resid TSM UC Adj'!F10</f>
        <v>1979.5343746713816</v>
      </c>
      <c r="G10" s="23">
        <f>'Resid Cust Fcst '!$AZ11*'Resid TSM UC Adj'!G10</f>
        <v>888.28562532861781</v>
      </c>
      <c r="H10" s="23">
        <f>'Resid Cust Fcst '!$AZ11*'Resid TSM UC Adj'!H10</f>
        <v>373.18</v>
      </c>
      <c r="I10" s="45">
        <f>IF(SUM(F10:H10)=0,0,SUM(F10:H10)/'Resid Cust Fcst '!AZ11)</f>
        <v>3240.9999999999991</v>
      </c>
      <c r="J10" s="137">
        <f>'Resid Cust Fcst '!$BA11*'Resid TSM UC Adj'!J10</f>
        <v>0</v>
      </c>
      <c r="K10" s="23">
        <f>'Resid Cust Fcst '!$BA11*'Resid TSM UC Adj'!K10</f>
        <v>0</v>
      </c>
      <c r="L10" s="23">
        <f>'Resid Cust Fcst '!$BA11*'Resid TSM UC Adj'!L10</f>
        <v>0</v>
      </c>
      <c r="M10" s="45">
        <f>IF(SUM(J10:L10)=0,0,SUM(J10:L10)/'Resid Cust Fcst '!BA11)</f>
        <v>0</v>
      </c>
      <c r="N10" s="137">
        <f>'Resid Cust Fcst '!$BB11*'Resid TSM UC Adj'!N10</f>
        <v>0</v>
      </c>
      <c r="O10" s="23">
        <f>'Resid Cust Fcst '!$BB11*'Resid TSM UC Adj'!O10</f>
        <v>0</v>
      </c>
      <c r="P10" s="23">
        <f>'Resid Cust Fcst '!$BB11*'Resid TSM UC Adj'!P10</f>
        <v>0</v>
      </c>
      <c r="Q10" s="45">
        <f>IF(SUM(N10:P10)=0,0,SUM(N10:P10)/'Resid Cust Fcst '!BB11)</f>
        <v>0</v>
      </c>
      <c r="R10" s="137">
        <f t="shared" si="2"/>
        <v>813119.64422315673</v>
      </c>
      <c r="S10" s="23">
        <f t="shared" si="0"/>
        <v>129341.09633094052</v>
      </c>
      <c r="T10" s="23">
        <f t="shared" si="0"/>
        <v>148365.424239819</v>
      </c>
      <c r="U10" s="45">
        <f>IF(SUM(R10:T10)=0,0,SUM(R10:T10)/'Resid Cust Fcst '!BC11)</f>
        <v>1812.0035960031832</v>
      </c>
      <c r="V10" s="137">
        <f>'Resid Cust Fcst '!$BD11*'Resid TSM UC Adj'!R10</f>
        <v>0</v>
      </c>
      <c r="W10" s="23">
        <f>'Resid Cust Fcst '!$BD11*'Resid TSM UC Adj'!S10</f>
        <v>0</v>
      </c>
      <c r="X10" s="23">
        <f>'Resid Cust Fcst '!$BD11*'Resid TSM UC Adj'!T10</f>
        <v>0</v>
      </c>
      <c r="Y10" s="45">
        <f>IF(SUM(V10:X10)=0,0,SUM(V10:X10)/'Resid Cust Fcst '!BD11)</f>
        <v>0</v>
      </c>
      <c r="Z10" s="137">
        <f t="shared" si="3"/>
        <v>813119.64422315673</v>
      </c>
      <c r="AA10" s="23">
        <f t="shared" si="1"/>
        <v>129341.09633094052</v>
      </c>
      <c r="AB10" s="23">
        <f t="shared" si="1"/>
        <v>148365.424239819</v>
      </c>
      <c r="AC10" s="45">
        <f>IF(SUM(Z10:AB10)=0,0,SUM(Z10:AB10)/'Resid Cust Fcst '!BE11)</f>
        <v>1812.0035960031832</v>
      </c>
    </row>
    <row r="11" spans="1:29">
      <c r="A11" s="153" t="s">
        <v>116</v>
      </c>
      <c r="B11" s="137">
        <f>'Resid Cust Fcst '!$AY12*'Resid TSM UC Adj'!B11</f>
        <v>68832.189022084436</v>
      </c>
      <c r="C11" s="23">
        <f>'Resid Cust Fcst '!$AY12*'Resid TSM UC Adj'!C11</f>
        <v>10900.321707131792</v>
      </c>
      <c r="D11" s="23">
        <f>'Resid Cust Fcst '!$AY12*'Resid TSM UC Adj'!D11</f>
        <v>12558.410076923077</v>
      </c>
      <c r="E11" s="45">
        <f>IF(SUM(B11:D11)=0,0,SUM(B11:D11)/'Resid Cust Fcst '!AY12)</f>
        <v>1809.625898159594</v>
      </c>
      <c r="F11" s="137">
        <f>'Resid Cust Fcst '!$AZ12*'Resid TSM UC Adj'!F11</f>
        <v>1979.5343746713816</v>
      </c>
      <c r="G11" s="23">
        <f>'Resid Cust Fcst '!$AZ12*'Resid TSM UC Adj'!G11</f>
        <v>888.28562532861781</v>
      </c>
      <c r="H11" s="23">
        <f>'Resid Cust Fcst '!$AZ12*'Resid TSM UC Adj'!H11</f>
        <v>373.18</v>
      </c>
      <c r="I11" s="45">
        <f>IF(SUM(F11:H11)=0,0,SUM(F11:H11)/'Resid Cust Fcst '!AZ12)</f>
        <v>3240.9999999999991</v>
      </c>
      <c r="J11" s="137">
        <f>'Resid Cust Fcst '!$BA12*'Resid TSM UC Adj'!J11</f>
        <v>0</v>
      </c>
      <c r="K11" s="23">
        <f>'Resid Cust Fcst '!$BA12*'Resid TSM UC Adj'!K11</f>
        <v>0</v>
      </c>
      <c r="L11" s="23">
        <f>'Resid Cust Fcst '!$BA12*'Resid TSM UC Adj'!L11</f>
        <v>0</v>
      </c>
      <c r="M11" s="45">
        <f>IF(SUM(J11:L11)=0,0,SUM(J11:L11)/'Resid Cust Fcst '!BA12)</f>
        <v>0</v>
      </c>
      <c r="N11" s="137">
        <f>'Resid Cust Fcst '!$BB12*'Resid TSM UC Adj'!N11</f>
        <v>0</v>
      </c>
      <c r="O11" s="23">
        <f>'Resid Cust Fcst '!$BB12*'Resid TSM UC Adj'!O11</f>
        <v>0</v>
      </c>
      <c r="P11" s="23">
        <f>'Resid Cust Fcst '!$BB12*'Resid TSM UC Adj'!P11</f>
        <v>0</v>
      </c>
      <c r="Q11" s="45">
        <f>IF(SUM(N11:P11)=0,0,SUM(N11:P11)/'Resid Cust Fcst '!BB12)</f>
        <v>0</v>
      </c>
      <c r="R11" s="137">
        <f t="shared" si="2"/>
        <v>70811.723396755813</v>
      </c>
      <c r="S11" s="23">
        <f t="shared" si="0"/>
        <v>11788.607332460409</v>
      </c>
      <c r="T11" s="23">
        <f t="shared" si="0"/>
        <v>12931.590076923078</v>
      </c>
      <c r="U11" s="45">
        <f>IF(SUM(R11:T11)=0,0,SUM(R11:T11)/'Resid Cust Fcst '!BC12)</f>
        <v>1837.1523231949866</v>
      </c>
      <c r="V11" s="137">
        <f>'Resid Cust Fcst '!$BD12*'Resid TSM UC Adj'!R11</f>
        <v>0</v>
      </c>
      <c r="W11" s="23">
        <f>'Resid Cust Fcst '!$BD12*'Resid TSM UC Adj'!S11</f>
        <v>0</v>
      </c>
      <c r="X11" s="23">
        <f>'Resid Cust Fcst '!$BD12*'Resid TSM UC Adj'!T11</f>
        <v>0</v>
      </c>
      <c r="Y11" s="45">
        <f>IF(SUM(V11:X11)=0,0,SUM(V11:X11)/'Resid Cust Fcst '!BD12)</f>
        <v>0</v>
      </c>
      <c r="Z11" s="137">
        <f t="shared" si="3"/>
        <v>70811.723396755813</v>
      </c>
      <c r="AA11" s="23">
        <f t="shared" si="1"/>
        <v>11788.607332460409</v>
      </c>
      <c r="AB11" s="23">
        <f t="shared" si="1"/>
        <v>12931.590076923078</v>
      </c>
      <c r="AC11" s="45">
        <f>IF(SUM(Z11:AB11)=0,0,SUM(Z11:AB11)/'Resid Cust Fcst '!BE12)</f>
        <v>1837.1523231949866</v>
      </c>
    </row>
    <row r="12" spans="1:29">
      <c r="A12" s="153" t="s">
        <v>8</v>
      </c>
      <c r="B12" s="137">
        <f>'Resid Cust Fcst '!$AY13*'Resid TSM UC Adj'!B12</f>
        <v>59450.707633202408</v>
      </c>
      <c r="C12" s="23">
        <f>'Resid Cust Fcst '!$AY13*'Resid TSM UC Adj'!C12</f>
        <v>21126.404281701398</v>
      </c>
      <c r="D12" s="23">
        <f>'Resid Cust Fcst '!$AY13*'Resid TSM UC Adj'!D12</f>
        <v>10095.976728506786</v>
      </c>
      <c r="E12" s="45">
        <f>IF(SUM(B12:D12)=0,0,SUM(B12:D12)/'Resid Cust Fcst '!AY13)</f>
        <v>2211.5387474002582</v>
      </c>
      <c r="F12" s="137">
        <f>'Resid Cust Fcst '!$AZ13*'Resid TSM UC Adj'!F12</f>
        <v>0</v>
      </c>
      <c r="G12" s="23">
        <f>'Resid Cust Fcst '!$AZ13*'Resid TSM UC Adj'!G12</f>
        <v>0</v>
      </c>
      <c r="H12" s="23">
        <f>'Resid Cust Fcst '!$AZ13*'Resid TSM UC Adj'!H12</f>
        <v>0</v>
      </c>
      <c r="I12" s="45">
        <f>IF(SUM(F12:H12)=0,0,SUM(F12:H12)/'Resid Cust Fcst '!AZ13)</f>
        <v>0</v>
      </c>
      <c r="J12" s="137">
        <f>'Resid Cust Fcst '!$BA13*'Resid TSM UC Adj'!J12</f>
        <v>3422.497168040336</v>
      </c>
      <c r="K12" s="23">
        <f>'Resid Cust Fcst '!$BA13*'Resid TSM UC Adj'!K12</f>
        <v>2313.1428319596644</v>
      </c>
      <c r="L12" s="23">
        <f>'Resid Cust Fcst '!$BA13*'Resid TSM UC Adj'!L12</f>
        <v>746.36</v>
      </c>
      <c r="M12" s="45">
        <f>IF(SUM(J12:L12)=0,0,SUM(J12:L12)/'Resid Cust Fcst '!BA13)</f>
        <v>3241</v>
      </c>
      <c r="N12" s="137">
        <f>'Resid Cust Fcst '!$BB13*'Resid TSM UC Adj'!N12</f>
        <v>0</v>
      </c>
      <c r="O12" s="23">
        <f>'Resid Cust Fcst '!$BB13*'Resid TSM UC Adj'!O12</f>
        <v>0</v>
      </c>
      <c r="P12" s="23">
        <f>'Resid Cust Fcst '!$BB13*'Resid TSM UC Adj'!P12</f>
        <v>0</v>
      </c>
      <c r="Q12" s="45">
        <f>IF(SUM(N12:P12)=0,0,SUM(N12:P12)/'Resid Cust Fcst '!BB13)</f>
        <v>0</v>
      </c>
      <c r="R12" s="137">
        <f t="shared" si="2"/>
        <v>62873.20480124274</v>
      </c>
      <c r="S12" s="23">
        <f t="shared" si="0"/>
        <v>23439.547113661061</v>
      </c>
      <c r="T12" s="23">
        <f t="shared" si="0"/>
        <v>10842.336728506787</v>
      </c>
      <c r="U12" s="45">
        <f>IF(SUM(R12:T12)=0,0,SUM(R12:T12)/'Resid Cust Fcst '!BC13)</f>
        <v>2259.4206661258277</v>
      </c>
      <c r="V12" s="137">
        <f>'Resid Cust Fcst '!$BD13*'Resid TSM UC Adj'!R12</f>
        <v>0</v>
      </c>
      <c r="W12" s="23">
        <f>'Resid Cust Fcst '!$BD13*'Resid TSM UC Adj'!S12</f>
        <v>0</v>
      </c>
      <c r="X12" s="23">
        <f>'Resid Cust Fcst '!$BD13*'Resid TSM UC Adj'!T12</f>
        <v>0</v>
      </c>
      <c r="Y12" s="45">
        <f>IF(SUM(V12:X12)=0,0,SUM(V12:X12)/'Resid Cust Fcst '!BD13)</f>
        <v>0</v>
      </c>
      <c r="Z12" s="137">
        <f t="shared" si="3"/>
        <v>62873.20480124274</v>
      </c>
      <c r="AA12" s="23">
        <f t="shared" si="1"/>
        <v>23439.547113661061</v>
      </c>
      <c r="AB12" s="23">
        <f t="shared" si="1"/>
        <v>10842.336728506787</v>
      </c>
      <c r="AC12" s="45">
        <f>IF(SUM(Z12:AB12)=0,0,SUM(Z12:AB12)/'Resid Cust Fcst '!BE13)</f>
        <v>2259.4206661258277</v>
      </c>
    </row>
    <row r="13" spans="1:29">
      <c r="A13" s="153" t="s">
        <v>9</v>
      </c>
      <c r="B13" s="137">
        <f>'Resid Cust Fcst '!$AY14*'Resid TSM UC Adj'!B13</f>
        <v>6493.7489399099759</v>
      </c>
      <c r="C13" s="23">
        <f>'Resid Cust Fcst '!$AY14*'Resid TSM UC Adj'!C13</f>
        <v>2490.5210555651365</v>
      </c>
      <c r="D13" s="23">
        <f>'Resid Cust Fcst '!$AY14*'Resid TSM UC Adj'!D13</f>
        <v>738.73000452488691</v>
      </c>
      <c r="E13" s="45">
        <f>IF(SUM(B13:D13)=0,0,SUM(B13:D13)/'Resid Cust Fcst '!AY14)</f>
        <v>3240.9999999999995</v>
      </c>
      <c r="F13" s="137">
        <f>'Resid Cust Fcst '!$AZ14*'Resid TSM UC Adj'!F13</f>
        <v>0</v>
      </c>
      <c r="G13" s="23">
        <f>'Resid Cust Fcst '!$AZ14*'Resid TSM UC Adj'!G13</f>
        <v>0</v>
      </c>
      <c r="H13" s="23">
        <f>'Resid Cust Fcst '!$AZ14*'Resid TSM UC Adj'!H13</f>
        <v>0</v>
      </c>
      <c r="I13" s="45">
        <f>IF(SUM(F13:H13)=0,0,SUM(F13:H13)/'Resid Cust Fcst '!AZ14)</f>
        <v>0</v>
      </c>
      <c r="J13" s="137">
        <f>'Resid Cust Fcst '!$BA14*'Resid TSM UC Adj'!J13</f>
        <v>1086.3440211748748</v>
      </c>
      <c r="K13" s="23">
        <f>'Resid Cust Fcst '!$BA14*'Resid TSM UC Adj'!K13</f>
        <v>1781.4759788251249</v>
      </c>
      <c r="L13" s="23">
        <f>'Resid Cust Fcst '!$BA14*'Resid TSM UC Adj'!L13</f>
        <v>373.18</v>
      </c>
      <c r="M13" s="45">
        <f>IF(SUM(J13:L13)=0,0,SUM(J13:L13)/'Resid Cust Fcst '!BA14)</f>
        <v>3240.9999999999995</v>
      </c>
      <c r="N13" s="137">
        <f>'Resid Cust Fcst '!$BB14*'Resid TSM UC Adj'!N13</f>
        <v>0</v>
      </c>
      <c r="O13" s="23">
        <f>'Resid Cust Fcst '!$BB14*'Resid TSM UC Adj'!O13</f>
        <v>0</v>
      </c>
      <c r="P13" s="23">
        <f>'Resid Cust Fcst '!$BB14*'Resid TSM UC Adj'!P13</f>
        <v>0</v>
      </c>
      <c r="Q13" s="45">
        <f>IF(SUM(N13:P13)=0,0,SUM(N13:P13)/'Resid Cust Fcst '!BB14)</f>
        <v>0</v>
      </c>
      <c r="R13" s="137">
        <f t="shared" si="2"/>
        <v>7580.0929610848507</v>
      </c>
      <c r="S13" s="23">
        <f t="shared" si="0"/>
        <v>4271.9970343902614</v>
      </c>
      <c r="T13" s="23">
        <f t="shared" si="0"/>
        <v>1111.910004524887</v>
      </c>
      <c r="U13" s="45">
        <f>IF(SUM(R13:T13)=0,0,SUM(R13:T13)/'Resid Cust Fcst '!BC14)</f>
        <v>3240.9999999999995</v>
      </c>
      <c r="V13" s="137">
        <f>'Resid Cust Fcst '!$BD14*'Resid TSM UC Adj'!R13</f>
        <v>0</v>
      </c>
      <c r="W13" s="23">
        <f>'Resid Cust Fcst '!$BD14*'Resid TSM UC Adj'!S13</f>
        <v>0</v>
      </c>
      <c r="X13" s="23">
        <f>'Resid Cust Fcst '!$BD14*'Resid TSM UC Adj'!T13</f>
        <v>0</v>
      </c>
      <c r="Y13" s="45">
        <f>IF(SUM(V13:X13)=0,0,SUM(V13:X13)/'Resid Cust Fcst '!BD14)</f>
        <v>0</v>
      </c>
      <c r="Z13" s="137">
        <f t="shared" si="3"/>
        <v>7580.0929610848507</v>
      </c>
      <c r="AA13" s="23">
        <f t="shared" si="1"/>
        <v>4271.9970343902614</v>
      </c>
      <c r="AB13" s="23">
        <f t="shared" si="1"/>
        <v>1111.910004524887</v>
      </c>
      <c r="AC13" s="45">
        <f>IF(SUM(Z13:AB13)=0,0,SUM(Z13:AB13)/'Resid Cust Fcst '!BE14)</f>
        <v>3240.9999999999995</v>
      </c>
    </row>
    <row r="14" spans="1:29">
      <c r="A14" s="153" t="s">
        <v>10</v>
      </c>
      <c r="B14" s="137">
        <f>'Resid Cust Fcst '!$AY15*'Resid TSM UC Adj'!B14</f>
        <v>0</v>
      </c>
      <c r="C14" s="23">
        <f>'Resid Cust Fcst '!$AY15*'Resid TSM UC Adj'!C14</f>
        <v>0</v>
      </c>
      <c r="D14" s="23">
        <f>'Resid Cust Fcst '!$AY15*'Resid TSM UC Adj'!D14</f>
        <v>0</v>
      </c>
      <c r="E14" s="45">
        <f>IF(SUM(B14:D14)=0,0,SUM(B14:D14)/'Resid Cust Fcst '!AY15)</f>
        <v>0</v>
      </c>
      <c r="F14" s="137">
        <f>'Resid Cust Fcst '!$AZ15*'Resid TSM UC Adj'!F14</f>
        <v>0</v>
      </c>
      <c r="G14" s="23">
        <f>'Resid Cust Fcst '!$AZ15*'Resid TSM UC Adj'!G14</f>
        <v>0</v>
      </c>
      <c r="H14" s="23">
        <f>'Resid Cust Fcst '!$AZ15*'Resid TSM UC Adj'!H14</f>
        <v>0</v>
      </c>
      <c r="I14" s="45">
        <f>IF(SUM(F14:H14)=0,0,SUM(F14:H14)/'Resid Cust Fcst '!AZ15)</f>
        <v>0</v>
      </c>
      <c r="J14" s="137">
        <f>'Resid Cust Fcst '!$BA15*'Resid TSM UC Adj'!J14</f>
        <v>0</v>
      </c>
      <c r="K14" s="23">
        <f>'Resid Cust Fcst '!$BA15*'Resid TSM UC Adj'!K14</f>
        <v>0</v>
      </c>
      <c r="L14" s="23">
        <f>'Resid Cust Fcst '!$BA15*'Resid TSM UC Adj'!L14</f>
        <v>0</v>
      </c>
      <c r="M14" s="45">
        <f>IF(SUM(J14:L14)=0,0,SUM(J14:L14)/'Resid Cust Fcst '!BA15)</f>
        <v>0</v>
      </c>
      <c r="N14" s="137">
        <f>'Resid Cust Fcst '!$BB15*'Resid TSM UC Adj'!N14</f>
        <v>0</v>
      </c>
      <c r="O14" s="23">
        <f>'Resid Cust Fcst '!$BB15*'Resid TSM UC Adj'!O14</f>
        <v>0</v>
      </c>
      <c r="P14" s="23">
        <f>'Resid Cust Fcst '!$BB15*'Resid TSM UC Adj'!P14</f>
        <v>0</v>
      </c>
      <c r="Q14" s="45">
        <f>IF(SUM(N14:P14)=0,0,SUM(N14:P14)/'Resid Cust Fcst '!BB15)</f>
        <v>0</v>
      </c>
      <c r="R14" s="137">
        <f t="shared" si="2"/>
        <v>0</v>
      </c>
      <c r="S14" s="23">
        <f t="shared" si="0"/>
        <v>0</v>
      </c>
      <c r="T14" s="23">
        <f t="shared" si="0"/>
        <v>0</v>
      </c>
      <c r="U14" s="45">
        <f>IF(SUM(R14:T14)=0,0,SUM(R14:T14)/'Resid Cust Fcst '!BC15)</f>
        <v>0</v>
      </c>
      <c r="V14" s="137">
        <f>'Resid Cust Fcst '!$BD15*'Resid TSM UC Adj'!R14</f>
        <v>0</v>
      </c>
      <c r="W14" s="23">
        <f>'Resid Cust Fcst '!$BD15*'Resid TSM UC Adj'!S14</f>
        <v>0</v>
      </c>
      <c r="X14" s="23">
        <f>'Resid Cust Fcst '!$BD15*'Resid TSM UC Adj'!T14</f>
        <v>0</v>
      </c>
      <c r="Y14" s="45">
        <f>IF(SUM(V14:X14)=0,0,SUM(V14:X14)/'Resid Cust Fcst '!BD15)</f>
        <v>0</v>
      </c>
      <c r="Z14" s="137">
        <f t="shared" si="3"/>
        <v>0</v>
      </c>
      <c r="AA14" s="23">
        <f t="shared" si="1"/>
        <v>0</v>
      </c>
      <c r="AB14" s="23">
        <f t="shared" si="1"/>
        <v>0</v>
      </c>
      <c r="AC14" s="45">
        <f>IF(SUM(Z14:AB14)=0,0,SUM(Z14:AB14)/'Resid Cust Fcst '!BE15)</f>
        <v>0</v>
      </c>
    </row>
    <row r="15" spans="1:29">
      <c r="A15" s="153" t="s">
        <v>11</v>
      </c>
      <c r="B15" s="137">
        <f>'Resid Cust Fcst '!$AY16*'Resid TSM UC Adj'!B15</f>
        <v>0</v>
      </c>
      <c r="C15" s="23">
        <f>'Resid Cust Fcst '!$AY16*'Resid TSM UC Adj'!C15</f>
        <v>0</v>
      </c>
      <c r="D15" s="23">
        <f>'Resid Cust Fcst '!$AY16*'Resid TSM UC Adj'!D15</f>
        <v>0</v>
      </c>
      <c r="E15" s="45">
        <f>IF(SUM(B15:D15)=0,0,SUM(B15:D15)/'Resid Cust Fcst '!AY16)</f>
        <v>0</v>
      </c>
      <c r="F15" s="137">
        <f>'Resid Cust Fcst '!$AZ16*'Resid TSM UC Adj'!F15</f>
        <v>0</v>
      </c>
      <c r="G15" s="23">
        <f>'Resid Cust Fcst '!$AZ16*'Resid TSM UC Adj'!G15</f>
        <v>0</v>
      </c>
      <c r="H15" s="23">
        <f>'Resid Cust Fcst '!$AZ16*'Resid TSM UC Adj'!H15</f>
        <v>0</v>
      </c>
      <c r="I15" s="45">
        <f>IF(SUM(F15:H15)=0,0,SUM(F15:H15)/'Resid Cust Fcst '!AZ16)</f>
        <v>0</v>
      </c>
      <c r="J15" s="137">
        <f>'Resid Cust Fcst '!$BA16*'Resid TSM UC Adj'!J15</f>
        <v>0</v>
      </c>
      <c r="K15" s="23">
        <f>'Resid Cust Fcst '!$BA16*'Resid TSM UC Adj'!K15</f>
        <v>2867.8199999999997</v>
      </c>
      <c r="L15" s="23">
        <f>'Resid Cust Fcst '!$BA16*'Resid TSM UC Adj'!L15</f>
        <v>373.18</v>
      </c>
      <c r="M15" s="45">
        <f>IF(SUM(J15:L15)=0,0,SUM(J15:L15)/'Resid Cust Fcst '!BA16)</f>
        <v>3240.9999999999995</v>
      </c>
      <c r="N15" s="137">
        <f>'Resid Cust Fcst '!$BB16*'Resid TSM UC Adj'!N15</f>
        <v>0</v>
      </c>
      <c r="O15" s="23">
        <f>'Resid Cust Fcst '!$BB16*'Resid TSM UC Adj'!O15</f>
        <v>0</v>
      </c>
      <c r="P15" s="23">
        <f>'Resid Cust Fcst '!$BB16*'Resid TSM UC Adj'!P15</f>
        <v>0</v>
      </c>
      <c r="Q15" s="45">
        <f>IF(SUM(N15:P15)=0,0,SUM(N15:P15)/'Resid Cust Fcst '!BB16)</f>
        <v>0</v>
      </c>
      <c r="R15" s="137">
        <f t="shared" si="2"/>
        <v>0</v>
      </c>
      <c r="S15" s="23">
        <f t="shared" si="0"/>
        <v>2867.8199999999997</v>
      </c>
      <c r="T15" s="23">
        <f t="shared" si="0"/>
        <v>373.18</v>
      </c>
      <c r="U15" s="45">
        <f>IF(SUM(R15:T15)=0,0,SUM(R15:T15)/'Resid Cust Fcst '!BC16)</f>
        <v>3240.9999999999995</v>
      </c>
      <c r="V15" s="137">
        <f>'Resid Cust Fcst '!$BD16*'Resid TSM UC Adj'!R15</f>
        <v>0</v>
      </c>
      <c r="W15" s="23">
        <f>'Resid Cust Fcst '!$BD16*'Resid TSM UC Adj'!S15</f>
        <v>0</v>
      </c>
      <c r="X15" s="23">
        <f>'Resid Cust Fcst '!$BD16*'Resid TSM UC Adj'!T15</f>
        <v>0</v>
      </c>
      <c r="Y15" s="45">
        <f>IF(SUM(V15:X15)=0,0,SUM(V15:X15)/'Resid Cust Fcst '!BD16)</f>
        <v>0</v>
      </c>
      <c r="Z15" s="137">
        <f t="shared" si="3"/>
        <v>0</v>
      </c>
      <c r="AA15" s="23">
        <f t="shared" si="1"/>
        <v>2867.8199999999997</v>
      </c>
      <c r="AB15" s="23">
        <f t="shared" si="1"/>
        <v>373.18</v>
      </c>
      <c r="AC15" s="45">
        <f>IF(SUM(Z15:AB15)=0,0,SUM(Z15:AB15)/'Resid Cust Fcst '!BE16)</f>
        <v>3240.9999999999995</v>
      </c>
    </row>
    <row r="16" spans="1:29">
      <c r="A16" s="153" t="s">
        <v>120</v>
      </c>
      <c r="B16" s="137">
        <f>'Resid Cust Fcst '!$AY17*'Resid TSM UC Adj'!B16</f>
        <v>0</v>
      </c>
      <c r="C16" s="23">
        <f>'Resid Cust Fcst '!$AY17*'Resid TSM UC Adj'!C16</f>
        <v>0</v>
      </c>
      <c r="D16" s="23">
        <f>'Resid Cust Fcst '!$AY17*'Resid TSM UC Adj'!D16</f>
        <v>0</v>
      </c>
      <c r="E16" s="45">
        <f>IF(SUM(B16:D16)=0,0,SUM(B16:D16)/'Resid Cust Fcst '!AY17)</f>
        <v>0</v>
      </c>
      <c r="F16" s="137">
        <f>'Resid Cust Fcst '!$AZ17*'Resid TSM UC Adj'!F16</f>
        <v>0</v>
      </c>
      <c r="G16" s="23">
        <f>'Resid Cust Fcst '!$AZ17*'Resid TSM UC Adj'!G16</f>
        <v>0</v>
      </c>
      <c r="H16" s="23">
        <f>'Resid Cust Fcst '!$AZ17*'Resid TSM UC Adj'!H16</f>
        <v>0</v>
      </c>
      <c r="I16" s="45">
        <f>IF(SUM(F16:H16)=0,0,SUM(F16:H16)/'Resid Cust Fcst '!AZ17)</f>
        <v>0</v>
      </c>
      <c r="J16" s="137">
        <f>'Resid Cust Fcst '!$BA17*'Resid TSM UC Adj'!J16</f>
        <v>0</v>
      </c>
      <c r="K16" s="23">
        <f>'Resid Cust Fcst '!$BA17*'Resid TSM UC Adj'!K16</f>
        <v>0</v>
      </c>
      <c r="L16" s="23">
        <f>'Resid Cust Fcst '!$BA17*'Resid TSM UC Adj'!L16</f>
        <v>0</v>
      </c>
      <c r="M16" s="45">
        <f>IF(SUM(J16:L16)=0,0,SUM(J16:L16)/'Resid Cust Fcst '!BA17)</f>
        <v>0</v>
      </c>
      <c r="N16" s="137">
        <f>'Resid Cust Fcst '!$BB17*'Resid TSM UC Adj'!N16</f>
        <v>0</v>
      </c>
      <c r="O16" s="23">
        <f>'Resid Cust Fcst '!$BB17*'Resid TSM UC Adj'!O16</f>
        <v>0</v>
      </c>
      <c r="P16" s="23">
        <f>'Resid Cust Fcst '!$BB17*'Resid TSM UC Adj'!P16</f>
        <v>0</v>
      </c>
      <c r="Q16" s="45">
        <f>IF(SUM(N16:P16)=0,0,SUM(N16:P16)/'Resid Cust Fcst '!BB17)</f>
        <v>0</v>
      </c>
      <c r="R16" s="137">
        <f t="shared" si="2"/>
        <v>0</v>
      </c>
      <c r="S16" s="23">
        <f t="shared" si="0"/>
        <v>0</v>
      </c>
      <c r="T16" s="23">
        <f t="shared" si="0"/>
        <v>0</v>
      </c>
      <c r="U16" s="45">
        <f>IF(SUM(R16:T16)=0,0,SUM(R16:T16)/'Resid Cust Fcst '!BC17)</f>
        <v>0</v>
      </c>
      <c r="V16" s="137">
        <f>'Resid Cust Fcst '!$BD17*'Resid TSM UC Adj'!R16</f>
        <v>0</v>
      </c>
      <c r="W16" s="23">
        <f>'Resid Cust Fcst '!$BD17*'Resid TSM UC Adj'!S16</f>
        <v>0</v>
      </c>
      <c r="X16" s="23">
        <f>'Resid Cust Fcst '!$BD17*'Resid TSM UC Adj'!T16</f>
        <v>0</v>
      </c>
      <c r="Y16" s="45">
        <f>IF(SUM(V16:X16)=0,0,SUM(V16:X16)/'Resid Cust Fcst '!BD17)</f>
        <v>0</v>
      </c>
      <c r="Z16" s="137">
        <f t="shared" si="3"/>
        <v>0</v>
      </c>
      <c r="AA16" s="23">
        <f t="shared" si="1"/>
        <v>0</v>
      </c>
      <c r="AB16" s="23">
        <f t="shared" si="1"/>
        <v>0</v>
      </c>
      <c r="AC16" s="45">
        <f>IF(SUM(Z16:AB16)=0,0,SUM(Z16:AB16)/'Resid Cust Fcst '!BE17)</f>
        <v>0</v>
      </c>
    </row>
    <row r="17" spans="1:29">
      <c r="A17" s="153" t="s">
        <v>121</v>
      </c>
      <c r="B17" s="137">
        <f>'Resid Cust Fcst '!$AY18*'Resid TSM UC Adj'!J17</f>
        <v>0</v>
      </c>
      <c r="C17" s="23">
        <f>'Resid Cust Fcst '!$AY18*'Resid TSM UC Adj'!K17</f>
        <v>0</v>
      </c>
      <c r="D17" s="23">
        <f>'Resid Cust Fcst '!$AY18*'Resid TSM UC Adj'!L17</f>
        <v>0</v>
      </c>
      <c r="E17" s="45">
        <f>IF(SUM(B17:D17)=0,0,SUM(B17:D17)/'Resid Cust Fcst '!AY18)</f>
        <v>0</v>
      </c>
      <c r="F17" s="137">
        <f>'Resid Cust Fcst '!$AZ18*'Resid TSM UC Adj'!F17</f>
        <v>0</v>
      </c>
      <c r="G17" s="23">
        <f>'Resid Cust Fcst '!$AZ18*'Resid TSM UC Adj'!G17</f>
        <v>0</v>
      </c>
      <c r="H17" s="23">
        <f>'Resid Cust Fcst '!$AZ18*'Resid TSM UC Adj'!H17</f>
        <v>0</v>
      </c>
      <c r="I17" s="45">
        <f>IF(SUM(F17:H17)=0,0,SUM(F17:H17)/'Resid Cust Fcst '!AZ18)</f>
        <v>0</v>
      </c>
      <c r="J17" s="137">
        <f>'Resid Cust Fcst '!$BA18*'Resid TSM UC Adj'!J17</f>
        <v>0</v>
      </c>
      <c r="K17" s="23">
        <f>'Resid Cust Fcst '!$BA18*'Resid TSM UC Adj'!K17</f>
        <v>0</v>
      </c>
      <c r="L17" s="23">
        <f>'Resid Cust Fcst '!$BA18*'Resid TSM UC Adj'!L17</f>
        <v>0</v>
      </c>
      <c r="M17" s="45">
        <f>IF(SUM(J17:L17)=0,0,SUM(J17:L17)/'Resid Cust Fcst '!BA18)</f>
        <v>0</v>
      </c>
      <c r="N17" s="137">
        <f>'Resid Cust Fcst '!$BB18*'Resid TSM UC Adj'!N17</f>
        <v>0</v>
      </c>
      <c r="O17" s="23">
        <f>'Resid Cust Fcst '!$BB18*'Resid TSM UC Adj'!O17</f>
        <v>0</v>
      </c>
      <c r="P17" s="23">
        <f>'Resid Cust Fcst '!$BB18*'Resid TSM UC Adj'!P17</f>
        <v>0</v>
      </c>
      <c r="Q17" s="45">
        <f>IF(SUM(N17:P17)=0,0,SUM(N17:P17)/'Resid Cust Fcst '!BB18)</f>
        <v>0</v>
      </c>
      <c r="R17" s="137">
        <f t="shared" si="2"/>
        <v>0</v>
      </c>
      <c r="S17" s="23">
        <f t="shared" si="0"/>
        <v>0</v>
      </c>
      <c r="T17" s="23">
        <f t="shared" si="0"/>
        <v>0</v>
      </c>
      <c r="U17" s="45">
        <f>IF(SUM(R17:T17)=0,0,SUM(R17:T17)/'Resid Cust Fcst '!BC18)</f>
        <v>0</v>
      </c>
      <c r="V17" s="137">
        <f>'Resid Cust Fcst '!$BD18*'Resid TSM UC Adj'!R17</f>
        <v>0</v>
      </c>
      <c r="W17" s="23">
        <f>'Resid Cust Fcst '!$BD18*'Resid TSM UC Adj'!S17</f>
        <v>0</v>
      </c>
      <c r="X17" s="23">
        <f>'Resid Cust Fcst '!$BD18*'Resid TSM UC Adj'!T17</f>
        <v>0</v>
      </c>
      <c r="Y17" s="45">
        <f>IF(SUM(V17:X17)=0,0,SUM(V17:X17)/'Resid Cust Fcst '!BD18)</f>
        <v>0</v>
      </c>
      <c r="Z17" s="137">
        <f t="shared" si="3"/>
        <v>0</v>
      </c>
      <c r="AA17" s="23">
        <f t="shared" si="1"/>
        <v>0</v>
      </c>
      <c r="AB17" s="23">
        <f t="shared" si="1"/>
        <v>0</v>
      </c>
      <c r="AC17" s="45">
        <f>IF(SUM(Z17:AB17)=0,0,SUM(Z17:AB17)/'Resid Cust Fcst '!BE18)</f>
        <v>0</v>
      </c>
    </row>
    <row r="18" spans="1:29">
      <c r="A18" s="153" t="s">
        <v>12</v>
      </c>
      <c r="B18" s="137">
        <f>'Resid Cust Fcst '!$AY19*'Resid TSM UC Adj'!J18</f>
        <v>0</v>
      </c>
      <c r="C18" s="23">
        <f>'Resid Cust Fcst '!$AY19*'Resid TSM UC Adj'!K18</f>
        <v>0</v>
      </c>
      <c r="D18" s="23">
        <f>'Resid Cust Fcst '!$AY19*'Resid TSM UC Adj'!L18</f>
        <v>0</v>
      </c>
      <c r="E18" s="45">
        <f>IF(SUM(B18:D18)=0,0,SUM(B18:D18)/'Resid Cust Fcst '!AY19)</f>
        <v>0</v>
      </c>
      <c r="F18" s="137">
        <f>'Resid Cust Fcst '!$AZ19*'Resid TSM UC Adj'!J18</f>
        <v>0</v>
      </c>
      <c r="G18" s="23">
        <f>'Resid Cust Fcst '!$AZ19*'Resid TSM UC Adj'!K18</f>
        <v>0</v>
      </c>
      <c r="H18" s="23">
        <f>'Resid Cust Fcst '!$AZ19*'Resid TSM UC Adj'!L18</f>
        <v>0</v>
      </c>
      <c r="I18" s="45">
        <f>IF(SUM(F18:H18)=0,0,SUM(F18:H18)/'Resid Cust Fcst '!AZ19)</f>
        <v>0</v>
      </c>
      <c r="J18" s="137">
        <f>'Resid Cust Fcst '!$BA19*'Resid TSM UC Adj'!J18</f>
        <v>0</v>
      </c>
      <c r="K18" s="23">
        <f>'Resid Cust Fcst '!$BA19*'Resid TSM UC Adj'!K18</f>
        <v>0</v>
      </c>
      <c r="L18" s="23">
        <f>'Resid Cust Fcst '!$BA19*'Resid TSM UC Adj'!L18</f>
        <v>0</v>
      </c>
      <c r="M18" s="45">
        <f>IF(SUM(J18:L18)=0,0,SUM(J18:L18)/'Resid Cust Fcst '!BA19)</f>
        <v>0</v>
      </c>
      <c r="N18" s="137">
        <f>'Resid Cust Fcst '!$BB19*'Resid TSM UC Adj'!N18</f>
        <v>0</v>
      </c>
      <c r="O18" s="23">
        <f>'Resid Cust Fcst '!$BB19*'Resid TSM UC Adj'!O18</f>
        <v>0</v>
      </c>
      <c r="P18" s="23">
        <f>'Resid Cust Fcst '!$BB19*'Resid TSM UC Adj'!P18</f>
        <v>0</v>
      </c>
      <c r="Q18" s="45">
        <f>IF(SUM(N18:P18)=0,0,SUM(N18:P18)/'Resid Cust Fcst '!BB19)</f>
        <v>0</v>
      </c>
      <c r="R18" s="137">
        <f t="shared" si="2"/>
        <v>0</v>
      </c>
      <c r="S18" s="23">
        <f t="shared" si="0"/>
        <v>0</v>
      </c>
      <c r="T18" s="23">
        <f t="shared" si="0"/>
        <v>0</v>
      </c>
      <c r="U18" s="45">
        <f>IF(SUM(R18:T18)=0,0,SUM(R18:T18)/'Resid Cust Fcst '!BC19)</f>
        <v>0</v>
      </c>
      <c r="V18" s="137">
        <f>'Resid Cust Fcst '!$BD19*'Resid TSM UC Adj'!R18</f>
        <v>0</v>
      </c>
      <c r="W18" s="23">
        <f>'Resid Cust Fcst '!$BD19*'Resid TSM UC Adj'!S18</f>
        <v>0</v>
      </c>
      <c r="X18" s="23">
        <f>'Resid Cust Fcst '!$BD19*'Resid TSM UC Adj'!T18</f>
        <v>0</v>
      </c>
      <c r="Y18" s="45">
        <f>IF(SUM(V18:X18)=0,0,SUM(V18:X18)/'Resid Cust Fcst '!BD19)</f>
        <v>0</v>
      </c>
      <c r="Z18" s="137">
        <f t="shared" si="3"/>
        <v>0</v>
      </c>
      <c r="AA18" s="23">
        <f t="shared" si="1"/>
        <v>0</v>
      </c>
      <c r="AB18" s="23">
        <f t="shared" si="1"/>
        <v>0</v>
      </c>
      <c r="AC18" s="45">
        <f>IF(SUM(Z18:AB18)=0,0,SUM(Z18:AB18)/'Resid Cust Fcst '!BE19)</f>
        <v>0</v>
      </c>
    </row>
    <row r="19" spans="1:29" s="58" customFormat="1">
      <c r="A19" s="134" t="s">
        <v>13</v>
      </c>
      <c r="B19" s="137">
        <f>'Resid Cust Fcst '!$AY20*'Resid TSM UC Adj'!J19</f>
        <v>0</v>
      </c>
      <c r="C19" s="23">
        <f>'Resid Cust Fcst '!$AY20*'Resid TSM UC Adj'!K19</f>
        <v>0</v>
      </c>
      <c r="D19" s="23">
        <f>'Resid Cust Fcst '!$AY20*'Resid TSM UC Adj'!L19</f>
        <v>0</v>
      </c>
      <c r="E19" s="45">
        <f>IF(SUM(B19:D19)=0,0,SUM(B19:D19)/'Resid Cust Fcst '!AY20)</f>
        <v>0</v>
      </c>
      <c r="F19" s="137">
        <f>'Resid Cust Fcst '!$AZ20*'Resid TSM UC Adj'!J19</f>
        <v>0</v>
      </c>
      <c r="G19" s="23">
        <f>'Resid Cust Fcst '!$AZ20*'Resid TSM UC Adj'!K19</f>
        <v>0</v>
      </c>
      <c r="H19" s="23">
        <f>'Resid Cust Fcst '!$AZ20*'Resid TSM UC Adj'!L19</f>
        <v>0</v>
      </c>
      <c r="I19" s="45">
        <f>IF(SUM(F19:H19)=0,0,SUM(F19:H19)/'Resid Cust Fcst '!AZ20)</f>
        <v>0</v>
      </c>
      <c r="J19" s="137">
        <f>'Resid Cust Fcst '!$BA20*'Resid TSM UC Adj'!J19</f>
        <v>0</v>
      </c>
      <c r="K19" s="23">
        <f>'Resid Cust Fcst '!$BA20*'Resid TSM UC Adj'!K19</f>
        <v>0</v>
      </c>
      <c r="L19" s="23">
        <f>'Resid Cust Fcst '!$BA20*'Resid TSM UC Adj'!L19</f>
        <v>0</v>
      </c>
      <c r="M19" s="45">
        <f>IF(SUM(J19:L19)=0,0,SUM(J19:L19)/'Resid Cust Fcst '!BA20)</f>
        <v>0</v>
      </c>
      <c r="N19" s="137">
        <f>'Resid Cust Fcst '!$BB20*'Resid TSM UC Adj'!N19</f>
        <v>0</v>
      </c>
      <c r="O19" s="23">
        <f>'Resid Cust Fcst '!$BB20*'Resid TSM UC Adj'!O19</f>
        <v>0</v>
      </c>
      <c r="P19" s="23">
        <f>'Resid Cust Fcst '!$BB20*'Resid TSM UC Adj'!P19</f>
        <v>0</v>
      </c>
      <c r="Q19" s="45">
        <f>IF(SUM(N19:P19)=0,0,SUM(N19:P19)/'Resid Cust Fcst '!BB20)</f>
        <v>0</v>
      </c>
      <c r="R19" s="137">
        <f t="shared" si="2"/>
        <v>0</v>
      </c>
      <c r="S19" s="23">
        <f t="shared" si="0"/>
        <v>0</v>
      </c>
      <c r="T19" s="23">
        <f t="shared" si="0"/>
        <v>0</v>
      </c>
      <c r="U19" s="45">
        <f>IF(SUM(R19:T19)=0,0,SUM(R19:T19)/'Resid Cust Fcst '!BC20)</f>
        <v>0</v>
      </c>
      <c r="V19" s="137">
        <f>'Resid Cust Fcst '!$BD20*'Resid TSM UC Adj'!R19</f>
        <v>0</v>
      </c>
      <c r="W19" s="23">
        <f>'Resid Cust Fcst '!$BD20*'Resid TSM UC Adj'!S19</f>
        <v>0</v>
      </c>
      <c r="X19" s="23">
        <f>'Resid Cust Fcst '!$BD20*'Resid TSM UC Adj'!T19</f>
        <v>0</v>
      </c>
      <c r="Y19" s="45">
        <f>IF(SUM(V19:X19)=0,0,SUM(V19:X19)/'Resid Cust Fcst '!BD20)</f>
        <v>0</v>
      </c>
      <c r="Z19" s="137">
        <f t="shared" si="3"/>
        <v>0</v>
      </c>
      <c r="AA19" s="23">
        <f t="shared" si="1"/>
        <v>0</v>
      </c>
      <c r="AB19" s="23">
        <f t="shared" si="1"/>
        <v>0</v>
      </c>
      <c r="AC19" s="45">
        <f>IF(SUM(Z19:AB19)=0,0,SUM(Z19:AB19)/'Resid Cust Fcst '!BE20)</f>
        <v>0</v>
      </c>
    </row>
    <row r="20" spans="1:29">
      <c r="A20" s="153" t="s">
        <v>122</v>
      </c>
      <c r="B20" s="137">
        <f>'Resid Cust Fcst '!$AY21*'Resid TSM UC Adj'!J20</f>
        <v>0</v>
      </c>
      <c r="C20" s="23">
        <f>'Resid Cust Fcst '!$AY21*'Resid TSM UC Adj'!K20</f>
        <v>0</v>
      </c>
      <c r="D20" s="23">
        <f>'Resid Cust Fcst '!$AY21*'Resid TSM UC Adj'!L20</f>
        <v>0</v>
      </c>
      <c r="E20" s="45">
        <f>IF(SUM(B20:D20)=0,0,SUM(B20:D20)/'Resid Cust Fcst '!AY21)</f>
        <v>0</v>
      </c>
      <c r="F20" s="137">
        <f>'Resid Cust Fcst '!$AZ21*'Resid TSM UC Adj'!J20</f>
        <v>0</v>
      </c>
      <c r="G20" s="23">
        <f>'Resid Cust Fcst '!$AZ21*'Resid TSM UC Adj'!K20</f>
        <v>0</v>
      </c>
      <c r="H20" s="23">
        <f>'Resid Cust Fcst '!$AZ21*'Resid TSM UC Adj'!L20</f>
        <v>0</v>
      </c>
      <c r="I20" s="45">
        <f>IF(SUM(F20:H20)=0,0,SUM(F20:H20)/'Resid Cust Fcst '!AZ21)</f>
        <v>0</v>
      </c>
      <c r="J20" s="137">
        <f>'Resid Cust Fcst '!$BA21*'Resid TSM UC Adj'!J20</f>
        <v>0</v>
      </c>
      <c r="K20" s="23">
        <f>'Resid Cust Fcst '!$BA21*'Resid TSM UC Adj'!K20</f>
        <v>0</v>
      </c>
      <c r="L20" s="23">
        <f>'Resid Cust Fcst '!$BA21*'Resid TSM UC Adj'!L20</f>
        <v>0</v>
      </c>
      <c r="M20" s="45">
        <f>IF(SUM(J20:L20)=0,0,SUM(J20:L20)/'Resid Cust Fcst '!BA21)</f>
        <v>0</v>
      </c>
      <c r="N20" s="137">
        <f>'Resid Cust Fcst '!$BB21*'Resid TSM UC Adj'!N20</f>
        <v>0</v>
      </c>
      <c r="O20" s="23">
        <f>'Resid Cust Fcst '!$BB21*'Resid TSM UC Adj'!O20</f>
        <v>0</v>
      </c>
      <c r="P20" s="23">
        <f>'Resid Cust Fcst '!$BB21*'Resid TSM UC Adj'!P20</f>
        <v>0</v>
      </c>
      <c r="Q20" s="45">
        <f>IF(SUM(N20:P20)=0,0,SUM(N20:P20)/'Resid Cust Fcst '!BB21)</f>
        <v>0</v>
      </c>
      <c r="R20" s="137">
        <f t="shared" si="2"/>
        <v>0</v>
      </c>
      <c r="S20" s="23">
        <f t="shared" si="0"/>
        <v>0</v>
      </c>
      <c r="T20" s="23">
        <f t="shared" si="0"/>
        <v>0</v>
      </c>
      <c r="U20" s="45">
        <f>IF(SUM(R20:T20)=0,0,SUM(R20:T20)/'Resid Cust Fcst '!BC21)</f>
        <v>0</v>
      </c>
      <c r="V20" s="137">
        <f>'Resid Cust Fcst '!$BD21*'Resid TSM UC Adj'!R20</f>
        <v>0</v>
      </c>
      <c r="W20" s="23">
        <f>'Resid Cust Fcst '!$BD21*'Resid TSM UC Adj'!S20</f>
        <v>0</v>
      </c>
      <c r="X20" s="23">
        <f>'Resid Cust Fcst '!$BD21*'Resid TSM UC Adj'!T20</f>
        <v>0</v>
      </c>
      <c r="Y20" s="45">
        <f>IF(SUM(V20:X20)=0,0,SUM(V20:X20)/'Resid Cust Fcst '!BD21)</f>
        <v>0</v>
      </c>
      <c r="Z20" s="137">
        <f t="shared" si="3"/>
        <v>0</v>
      </c>
      <c r="AA20" s="23">
        <f t="shared" si="1"/>
        <v>0</v>
      </c>
      <c r="AB20" s="23">
        <f t="shared" si="1"/>
        <v>0</v>
      </c>
      <c r="AC20" s="45">
        <f>IF(SUM(Z20:AB20)=0,0,SUM(Z20:AB20)/'Resid Cust Fcst '!BE21)</f>
        <v>0</v>
      </c>
    </row>
    <row r="21" spans="1:29">
      <c r="A21" s="153" t="s">
        <v>123</v>
      </c>
      <c r="B21" s="137">
        <f>'Resid Cust Fcst '!$AY22*'Resid TSM UC Adj'!J21</f>
        <v>0</v>
      </c>
      <c r="C21" s="23">
        <f>'Resid Cust Fcst '!$AY22*'Resid TSM UC Adj'!K21</f>
        <v>0</v>
      </c>
      <c r="D21" s="23">
        <f>'Resid Cust Fcst '!$AY22*'Resid TSM UC Adj'!L21</f>
        <v>0</v>
      </c>
      <c r="E21" s="45">
        <f>IF(SUM(B21:D21)=0,0,SUM(B21:D21)/'Resid Cust Fcst '!AY22)</f>
        <v>0</v>
      </c>
      <c r="F21" s="137">
        <f>'Resid Cust Fcst '!$AZ22*'Resid TSM UC Adj'!J21</f>
        <v>0</v>
      </c>
      <c r="G21" s="23">
        <f>'Resid Cust Fcst '!$AZ22*'Resid TSM UC Adj'!K21</f>
        <v>0</v>
      </c>
      <c r="H21" s="23">
        <f>'Resid Cust Fcst '!$AZ22*'Resid TSM UC Adj'!L21</f>
        <v>0</v>
      </c>
      <c r="I21" s="45">
        <f>IF(SUM(F21:H21)=0,0,SUM(F21:H21)/'Resid Cust Fcst '!AZ22)</f>
        <v>0</v>
      </c>
      <c r="J21" s="137">
        <f>'Resid Cust Fcst '!$BA22*'Resid TSM UC Adj'!J21</f>
        <v>0</v>
      </c>
      <c r="K21" s="23">
        <f>'Resid Cust Fcst '!$BA22*'Resid TSM UC Adj'!K21</f>
        <v>0</v>
      </c>
      <c r="L21" s="23">
        <f>'Resid Cust Fcst '!$BA22*'Resid TSM UC Adj'!L21</f>
        <v>0</v>
      </c>
      <c r="M21" s="45">
        <f>IF(SUM(J21:L21)=0,0,SUM(J21:L21)/'Resid Cust Fcst '!BA22)</f>
        <v>0</v>
      </c>
      <c r="N21" s="137">
        <f>'Resid Cust Fcst '!$BB22*'Resid TSM UC Adj'!N21</f>
        <v>0</v>
      </c>
      <c r="O21" s="23">
        <f>'Resid Cust Fcst '!$BB22*'Resid TSM UC Adj'!O21</f>
        <v>0</v>
      </c>
      <c r="P21" s="23">
        <f>'Resid Cust Fcst '!$BB22*'Resid TSM UC Adj'!P21</f>
        <v>0</v>
      </c>
      <c r="Q21" s="45">
        <f>IF(SUM(N21:P21)=0,0,SUM(N21:P21)/'Resid Cust Fcst '!BB22)</f>
        <v>0</v>
      </c>
      <c r="R21" s="137">
        <f t="shared" si="2"/>
        <v>0</v>
      </c>
      <c r="S21" s="23">
        <f t="shared" si="0"/>
        <v>0</v>
      </c>
      <c r="T21" s="23">
        <f t="shared" si="0"/>
        <v>0</v>
      </c>
      <c r="U21" s="45">
        <f>IF(SUM(R21:T21)=0,0,SUM(R21:T21)/'Resid Cust Fcst '!BC22)</f>
        <v>0</v>
      </c>
      <c r="V21" s="137">
        <f>'Resid Cust Fcst '!$BD22*'Resid TSM UC Adj'!R21</f>
        <v>0</v>
      </c>
      <c r="W21" s="23">
        <f>'Resid Cust Fcst '!$BD22*'Resid TSM UC Adj'!S21</f>
        <v>0</v>
      </c>
      <c r="X21" s="23">
        <f>'Resid Cust Fcst '!$BD22*'Resid TSM UC Adj'!T21</f>
        <v>0</v>
      </c>
      <c r="Y21" s="45">
        <f>IF(SUM(V21:X21)=0,0,SUM(V21:X21)/'Resid Cust Fcst '!BD22)</f>
        <v>0</v>
      </c>
      <c r="Z21" s="137">
        <f t="shared" si="3"/>
        <v>0</v>
      </c>
      <c r="AA21" s="23">
        <f t="shared" si="1"/>
        <v>0</v>
      </c>
      <c r="AB21" s="23">
        <f t="shared" si="1"/>
        <v>0</v>
      </c>
      <c r="AC21" s="45">
        <f>IF(SUM(Z21:AB21)=0,0,SUM(Z21:AB21)/'Resid Cust Fcst '!BE22)</f>
        <v>0</v>
      </c>
    </row>
    <row r="22" spans="1:29">
      <c r="A22" s="153" t="s">
        <v>14</v>
      </c>
      <c r="B22" s="137">
        <f>'Resid Cust Fcst '!$AY23*'Resid TSM UC Adj'!J22</f>
        <v>0</v>
      </c>
      <c r="C22" s="23">
        <f>'Resid Cust Fcst '!$AY23*'Resid TSM UC Adj'!K22</f>
        <v>0</v>
      </c>
      <c r="D22" s="23">
        <f>'Resid Cust Fcst '!$AY23*'Resid TSM UC Adj'!L22</f>
        <v>0</v>
      </c>
      <c r="E22" s="45">
        <f>IF(SUM(B22:D22)=0,0,SUM(B22:D22)/'Resid Cust Fcst '!AY23)</f>
        <v>0</v>
      </c>
      <c r="F22" s="137">
        <f>'Resid Cust Fcst '!$AZ23*'Resid TSM UC Adj'!J22</f>
        <v>0</v>
      </c>
      <c r="G22" s="23">
        <f>'Resid Cust Fcst '!$AZ23*'Resid TSM UC Adj'!K22</f>
        <v>0</v>
      </c>
      <c r="H22" s="23">
        <f>'Resid Cust Fcst '!$AZ23*'Resid TSM UC Adj'!L22</f>
        <v>0</v>
      </c>
      <c r="I22" s="45">
        <f>IF(SUM(F22:H22)=0,0,SUM(F22:H22)/'Resid Cust Fcst '!AZ23)</f>
        <v>0</v>
      </c>
      <c r="J22" s="137">
        <f>'Resid Cust Fcst '!$BA23*'Resid TSM UC Adj'!J22</f>
        <v>0</v>
      </c>
      <c r="K22" s="23">
        <f>'Resid Cust Fcst '!$BA23*'Resid TSM UC Adj'!K22</f>
        <v>0</v>
      </c>
      <c r="L22" s="23">
        <f>'Resid Cust Fcst '!$BA23*'Resid TSM UC Adj'!L22</f>
        <v>0</v>
      </c>
      <c r="M22" s="45">
        <f>IF(SUM(J22:L22)=0,0,SUM(J22:L22)/'Resid Cust Fcst '!BA23)</f>
        <v>0</v>
      </c>
      <c r="N22" s="137">
        <f>'Resid Cust Fcst '!$BB23*'Resid TSM UC Adj'!N22</f>
        <v>0</v>
      </c>
      <c r="O22" s="23">
        <f>'Resid Cust Fcst '!$BB23*'Resid TSM UC Adj'!O22</f>
        <v>0</v>
      </c>
      <c r="P22" s="23">
        <f>'Resid Cust Fcst '!$BB23*'Resid TSM UC Adj'!P22</f>
        <v>0</v>
      </c>
      <c r="Q22" s="45">
        <f>IF(SUM(N22:P22)=0,0,SUM(N22:P22)/'Resid Cust Fcst '!BB23)</f>
        <v>0</v>
      </c>
      <c r="R22" s="137">
        <f t="shared" si="2"/>
        <v>0</v>
      </c>
      <c r="S22" s="23">
        <f t="shared" si="0"/>
        <v>0</v>
      </c>
      <c r="T22" s="23">
        <f t="shared" si="0"/>
        <v>0</v>
      </c>
      <c r="U22" s="45">
        <f>IF(SUM(R22:T22)=0,0,SUM(R22:T22)/'Resid Cust Fcst '!BC23)</f>
        <v>0</v>
      </c>
      <c r="V22" s="137">
        <f>'Resid Cust Fcst '!$BD23*'Resid TSM UC Adj'!R22</f>
        <v>0</v>
      </c>
      <c r="W22" s="23">
        <f>'Resid Cust Fcst '!$BD23*'Resid TSM UC Adj'!S22</f>
        <v>0</v>
      </c>
      <c r="X22" s="23">
        <f>'Resid Cust Fcst '!$BD23*'Resid TSM UC Adj'!T22</f>
        <v>0</v>
      </c>
      <c r="Y22" s="45">
        <f>IF(SUM(V22:X22)=0,0,SUM(V22:X22)/'Resid Cust Fcst '!BD23)</f>
        <v>0</v>
      </c>
      <c r="Z22" s="137">
        <f t="shared" si="3"/>
        <v>0</v>
      </c>
      <c r="AA22" s="23">
        <f t="shared" si="1"/>
        <v>0</v>
      </c>
      <c r="AB22" s="23">
        <f t="shared" si="1"/>
        <v>0</v>
      </c>
      <c r="AC22" s="45">
        <f>IF(SUM(Z22:AB22)=0,0,SUM(Z22:AB22)/'Resid Cust Fcst '!BE23)</f>
        <v>0</v>
      </c>
    </row>
    <row r="23" spans="1:29">
      <c r="A23" s="153" t="s">
        <v>15</v>
      </c>
      <c r="B23" s="137">
        <f>'Resid Cust Fcst '!$AY24*'Resid TSM UC Adj'!J23</f>
        <v>0</v>
      </c>
      <c r="C23" s="23">
        <f>'Resid Cust Fcst '!$AY24*'Resid TSM UC Adj'!K23</f>
        <v>0</v>
      </c>
      <c r="D23" s="23">
        <f>'Resid Cust Fcst '!$AY24*'Resid TSM UC Adj'!L23</f>
        <v>0</v>
      </c>
      <c r="E23" s="45">
        <f>IF(SUM(B23:D23)=0,0,SUM(B23:D23)/'Resid Cust Fcst '!AY24)</f>
        <v>0</v>
      </c>
      <c r="F23" s="137">
        <f>'Resid Cust Fcst '!$AZ24*'Resid TSM UC Adj'!J23</f>
        <v>0</v>
      </c>
      <c r="G23" s="23">
        <f>'Resid Cust Fcst '!$AZ24*'Resid TSM UC Adj'!K23</f>
        <v>0</v>
      </c>
      <c r="H23" s="23">
        <f>'Resid Cust Fcst '!$AZ24*'Resid TSM UC Adj'!L23</f>
        <v>0</v>
      </c>
      <c r="I23" s="45">
        <f>IF(SUM(F23:H23)=0,0,SUM(F23:H23)/'Resid Cust Fcst '!AZ24)</f>
        <v>0</v>
      </c>
      <c r="J23" s="137">
        <f>'Resid Cust Fcst '!$BA24*'Resid TSM UC Adj'!J23</f>
        <v>0</v>
      </c>
      <c r="K23" s="23">
        <f>'Resid Cust Fcst '!$BA24*'Resid TSM UC Adj'!K23</f>
        <v>0</v>
      </c>
      <c r="L23" s="23">
        <f>'Resid Cust Fcst '!$BA24*'Resid TSM UC Adj'!L23</f>
        <v>0</v>
      </c>
      <c r="M23" s="45">
        <f>IF(SUM(J23:L23)=0,0,SUM(J23:L23)/'Resid Cust Fcst '!BA24)</f>
        <v>0</v>
      </c>
      <c r="N23" s="137">
        <f>'Resid Cust Fcst '!$BB24*'Resid TSM UC Adj'!N23</f>
        <v>0</v>
      </c>
      <c r="O23" s="23">
        <f>'Resid Cust Fcst '!$BB24*'Resid TSM UC Adj'!O23</f>
        <v>0</v>
      </c>
      <c r="P23" s="23">
        <f>'Resid Cust Fcst '!$BB24*'Resid TSM UC Adj'!P23</f>
        <v>0</v>
      </c>
      <c r="Q23" s="45">
        <f>IF(SUM(N23:P23)=0,0,SUM(N23:P23)/'Resid Cust Fcst '!BB24)</f>
        <v>0</v>
      </c>
      <c r="R23" s="137">
        <f t="shared" si="2"/>
        <v>0</v>
      </c>
      <c r="S23" s="23">
        <f t="shared" ref="S23:S37" si="4">C23+G23+K23+O23</f>
        <v>0</v>
      </c>
      <c r="T23" s="23">
        <f t="shared" ref="T23:T37" si="5">D23+H23+L23+P23</f>
        <v>0</v>
      </c>
      <c r="U23" s="45">
        <f>IF(SUM(R23:T23)=0,0,SUM(R23:T23)/'Resid Cust Fcst '!BC24)</f>
        <v>0</v>
      </c>
      <c r="V23" s="137">
        <f>'Resid Cust Fcst '!$BD24*'Resid TSM UC Adj'!R23</f>
        <v>0</v>
      </c>
      <c r="W23" s="23">
        <f>'Resid Cust Fcst '!$BD24*'Resid TSM UC Adj'!S23</f>
        <v>0</v>
      </c>
      <c r="X23" s="23">
        <f>'Resid Cust Fcst '!$BD24*'Resid TSM UC Adj'!T23</f>
        <v>0</v>
      </c>
      <c r="Y23" s="45">
        <f>IF(SUM(V23:X23)=0,0,SUM(V23:X23)/'Resid Cust Fcst '!BD24)</f>
        <v>0</v>
      </c>
      <c r="Z23" s="137">
        <f t="shared" si="3"/>
        <v>0</v>
      </c>
      <c r="AA23" s="23">
        <f t="shared" ref="AA23:AA37" si="6">S23+W23</f>
        <v>0</v>
      </c>
      <c r="AB23" s="23">
        <f t="shared" ref="AB23:AB37" si="7">T23+X23</f>
        <v>0</v>
      </c>
      <c r="AC23" s="45">
        <f>IF(SUM(Z23:AB23)=0,0,SUM(Z23:AB23)/'Resid Cust Fcst '!BE24)</f>
        <v>0</v>
      </c>
    </row>
    <row r="24" spans="1:29">
      <c r="A24" s="153" t="s">
        <v>16</v>
      </c>
      <c r="B24" s="137">
        <f>'Resid Cust Fcst '!$AY25*'Resid TSM UC Adj'!J24</f>
        <v>0</v>
      </c>
      <c r="C24" s="23">
        <f>'Resid Cust Fcst '!$AY25*'Resid TSM UC Adj'!K24</f>
        <v>0</v>
      </c>
      <c r="D24" s="23">
        <f>'Resid Cust Fcst '!$AY25*'Resid TSM UC Adj'!L24</f>
        <v>0</v>
      </c>
      <c r="E24" s="45">
        <f>IF(SUM(B24:D24)=0,0,SUM(B24:D24)/'Resid Cust Fcst '!AY25)</f>
        <v>0</v>
      </c>
      <c r="F24" s="137">
        <f>'Resid Cust Fcst '!$AZ25*'Resid TSM UC Adj'!J24</f>
        <v>0</v>
      </c>
      <c r="G24" s="23">
        <f>'Resid Cust Fcst '!$AZ25*'Resid TSM UC Adj'!K24</f>
        <v>0</v>
      </c>
      <c r="H24" s="23">
        <f>'Resid Cust Fcst '!$AZ25*'Resid TSM UC Adj'!L24</f>
        <v>0</v>
      </c>
      <c r="I24" s="45">
        <f>IF(SUM(F24:H24)=0,0,SUM(F24:H24)/'Resid Cust Fcst '!AZ25)</f>
        <v>0</v>
      </c>
      <c r="J24" s="137">
        <f>'Resid Cust Fcst '!$BA25*'Resid TSM UC Adj'!J24</f>
        <v>0</v>
      </c>
      <c r="K24" s="23">
        <f>'Resid Cust Fcst '!$BA25*'Resid TSM UC Adj'!K24</f>
        <v>0</v>
      </c>
      <c r="L24" s="23">
        <f>'Resid Cust Fcst '!$BA25*'Resid TSM UC Adj'!L24</f>
        <v>0</v>
      </c>
      <c r="M24" s="45">
        <f>IF(SUM(J24:L24)=0,0,SUM(J24:L24)/'Resid Cust Fcst '!BA25)</f>
        <v>0</v>
      </c>
      <c r="N24" s="137">
        <f>'Resid Cust Fcst '!$BB25*'Resid TSM UC Adj'!N24</f>
        <v>0</v>
      </c>
      <c r="O24" s="23">
        <f>'Resid Cust Fcst '!$BB25*'Resid TSM UC Adj'!O24</f>
        <v>0</v>
      </c>
      <c r="P24" s="23">
        <f>'Resid Cust Fcst '!$BB25*'Resid TSM UC Adj'!P24</f>
        <v>0</v>
      </c>
      <c r="Q24" s="45">
        <f>IF(SUM(N24:P24)=0,0,SUM(N24:P24)/'Resid Cust Fcst '!BB25)</f>
        <v>0</v>
      </c>
      <c r="R24" s="137">
        <f t="shared" si="2"/>
        <v>0</v>
      </c>
      <c r="S24" s="23">
        <f t="shared" si="4"/>
        <v>0</v>
      </c>
      <c r="T24" s="23">
        <f t="shared" si="5"/>
        <v>0</v>
      </c>
      <c r="U24" s="45">
        <f>IF(SUM(R24:T24)=0,0,SUM(R24:T24)/'Resid Cust Fcst '!BC25)</f>
        <v>0</v>
      </c>
      <c r="V24" s="137">
        <f>'Resid Cust Fcst '!$BD25*'Resid TSM UC Adj'!R24</f>
        <v>0</v>
      </c>
      <c r="W24" s="23">
        <f>'Resid Cust Fcst '!$BD25*'Resid TSM UC Adj'!S24</f>
        <v>0</v>
      </c>
      <c r="X24" s="23">
        <f>'Resid Cust Fcst '!$BD25*'Resid TSM UC Adj'!T24</f>
        <v>0</v>
      </c>
      <c r="Y24" s="45">
        <f>IF(SUM(V24:X24)=0,0,SUM(V24:X24)/'Resid Cust Fcst '!BD25)</f>
        <v>0</v>
      </c>
      <c r="Z24" s="137">
        <f t="shared" si="3"/>
        <v>0</v>
      </c>
      <c r="AA24" s="23">
        <f t="shared" si="6"/>
        <v>0</v>
      </c>
      <c r="AB24" s="23">
        <f t="shared" si="7"/>
        <v>0</v>
      </c>
      <c r="AC24" s="45">
        <f>IF(SUM(Z24:AB24)=0,0,SUM(Z24:AB24)/'Resid Cust Fcst '!BE25)</f>
        <v>0</v>
      </c>
    </row>
    <row r="25" spans="1:29">
      <c r="A25" s="153" t="s">
        <v>17</v>
      </c>
      <c r="B25" s="137">
        <f>'Resid Cust Fcst '!$AY26*'Resid TSM UC Adj'!J25</f>
        <v>0</v>
      </c>
      <c r="C25" s="23">
        <f>'Resid Cust Fcst '!$AY26*'Resid TSM UC Adj'!K25</f>
        <v>0</v>
      </c>
      <c r="D25" s="23">
        <f>'Resid Cust Fcst '!$AY26*'Resid TSM UC Adj'!L25</f>
        <v>0</v>
      </c>
      <c r="E25" s="45">
        <f>IF(SUM(B25:D25)=0,0,SUM(B25:D25)/'Resid Cust Fcst '!AY26)</f>
        <v>0</v>
      </c>
      <c r="F25" s="137">
        <f>'Resid Cust Fcst '!$AZ26*'Resid TSM UC Adj'!J25</f>
        <v>0</v>
      </c>
      <c r="G25" s="23">
        <f>'Resid Cust Fcst '!$AZ26*'Resid TSM UC Adj'!K25</f>
        <v>0</v>
      </c>
      <c r="H25" s="23">
        <f>'Resid Cust Fcst '!$AZ26*'Resid TSM UC Adj'!L25</f>
        <v>0</v>
      </c>
      <c r="I25" s="45">
        <f>IF(SUM(F25:H25)=0,0,SUM(F25:H25)/'Resid Cust Fcst '!AZ26)</f>
        <v>0</v>
      </c>
      <c r="J25" s="137">
        <f>'Resid Cust Fcst '!$BA26*'Resid TSM UC Adj'!J25</f>
        <v>0</v>
      </c>
      <c r="K25" s="23">
        <f>'Resid Cust Fcst '!$BA26*'Resid TSM UC Adj'!K25</f>
        <v>0</v>
      </c>
      <c r="L25" s="23">
        <f>'Resid Cust Fcst '!$BA26*'Resid TSM UC Adj'!L25</f>
        <v>0</v>
      </c>
      <c r="M25" s="45">
        <f>IF(SUM(J25:L25)=0,0,SUM(J25:L25)/'Resid Cust Fcst '!BA26)</f>
        <v>0</v>
      </c>
      <c r="N25" s="137">
        <f>'Resid Cust Fcst '!$BB26*'Resid TSM UC Adj'!N25</f>
        <v>0</v>
      </c>
      <c r="O25" s="23">
        <f>'Resid Cust Fcst '!$BB26*'Resid TSM UC Adj'!O25</f>
        <v>0</v>
      </c>
      <c r="P25" s="23">
        <f>'Resid Cust Fcst '!$BB26*'Resid TSM UC Adj'!P25</f>
        <v>0</v>
      </c>
      <c r="Q25" s="45">
        <f>IF(SUM(N25:P25)=0,0,SUM(N25:P25)/'Resid Cust Fcst '!BB26)</f>
        <v>0</v>
      </c>
      <c r="R25" s="137">
        <f t="shared" si="2"/>
        <v>0</v>
      </c>
      <c r="S25" s="23">
        <f t="shared" si="4"/>
        <v>0</v>
      </c>
      <c r="T25" s="23">
        <f t="shared" si="5"/>
        <v>0</v>
      </c>
      <c r="U25" s="45">
        <f>IF(SUM(R25:T25)=0,0,SUM(R25:T25)/'Resid Cust Fcst '!BC26)</f>
        <v>0</v>
      </c>
      <c r="V25" s="137">
        <f>'Resid Cust Fcst '!$BD26*'Resid TSM UC Adj'!R25</f>
        <v>0</v>
      </c>
      <c r="W25" s="23">
        <f>'Resid Cust Fcst '!$BD26*'Resid TSM UC Adj'!S25</f>
        <v>0</v>
      </c>
      <c r="X25" s="23">
        <f>'Resid Cust Fcst '!$BD26*'Resid TSM UC Adj'!T25</f>
        <v>0</v>
      </c>
      <c r="Y25" s="45">
        <f>IF(SUM(V25:X25)=0,0,SUM(V25:X25)/'Resid Cust Fcst '!BD26)</f>
        <v>0</v>
      </c>
      <c r="Z25" s="137">
        <f t="shared" si="3"/>
        <v>0</v>
      </c>
      <c r="AA25" s="23">
        <f t="shared" si="6"/>
        <v>0</v>
      </c>
      <c r="AB25" s="23">
        <f t="shared" si="7"/>
        <v>0</v>
      </c>
      <c r="AC25" s="45">
        <f>IF(SUM(Z25:AB25)=0,0,SUM(Z25:AB25)/'Resid Cust Fcst '!BE26)</f>
        <v>0</v>
      </c>
    </row>
    <row r="26" spans="1:29">
      <c r="A26" s="153" t="s">
        <v>18</v>
      </c>
      <c r="B26" s="137">
        <f>'Resid Cust Fcst '!$AY27*'Resid TSM UC Adj'!J26</f>
        <v>0</v>
      </c>
      <c r="C26" s="23">
        <f>'Resid Cust Fcst '!$AY27*'Resid TSM UC Adj'!K26</f>
        <v>0</v>
      </c>
      <c r="D26" s="23">
        <f>'Resid Cust Fcst '!$AY27*'Resid TSM UC Adj'!L26</f>
        <v>0</v>
      </c>
      <c r="E26" s="45">
        <f>IF(SUM(B26:D26)=0,0,SUM(B26:D26)/'Resid Cust Fcst '!AY27)</f>
        <v>0</v>
      </c>
      <c r="F26" s="137">
        <f>'Resid Cust Fcst '!$AZ27*'Resid TSM UC Adj'!J26</f>
        <v>0</v>
      </c>
      <c r="G26" s="23">
        <f>'Resid Cust Fcst '!$AZ27*'Resid TSM UC Adj'!K26</f>
        <v>0</v>
      </c>
      <c r="H26" s="23">
        <f>'Resid Cust Fcst '!$AZ27*'Resid TSM UC Adj'!L26</f>
        <v>0</v>
      </c>
      <c r="I26" s="45">
        <f>IF(SUM(F26:H26)=0,0,SUM(F26:H26)/'Resid Cust Fcst '!AZ27)</f>
        <v>0</v>
      </c>
      <c r="J26" s="137">
        <f>'Resid Cust Fcst '!$BA27*'Resid TSM UC Adj'!J26</f>
        <v>0</v>
      </c>
      <c r="K26" s="23">
        <f>'Resid Cust Fcst '!$BA27*'Resid TSM UC Adj'!K26</f>
        <v>0</v>
      </c>
      <c r="L26" s="23">
        <f>'Resid Cust Fcst '!$BA27*'Resid TSM UC Adj'!L26</f>
        <v>0</v>
      </c>
      <c r="M26" s="45">
        <f>IF(SUM(J26:L26)=0,0,SUM(J26:L26)/'Resid Cust Fcst '!BA27)</f>
        <v>0</v>
      </c>
      <c r="N26" s="137">
        <f>'Resid Cust Fcst '!$BB27*'Resid TSM UC Adj'!N26</f>
        <v>0</v>
      </c>
      <c r="O26" s="23">
        <f>'Resid Cust Fcst '!$BB27*'Resid TSM UC Adj'!O26</f>
        <v>0</v>
      </c>
      <c r="P26" s="23">
        <f>'Resid Cust Fcst '!$BB27*'Resid TSM UC Adj'!P26</f>
        <v>0</v>
      </c>
      <c r="Q26" s="45">
        <f>IF(SUM(N26:P26)=0,0,SUM(N26:P26)/'Resid Cust Fcst '!BB27)</f>
        <v>0</v>
      </c>
      <c r="R26" s="137">
        <f t="shared" si="2"/>
        <v>0</v>
      </c>
      <c r="S26" s="23">
        <f t="shared" si="4"/>
        <v>0</v>
      </c>
      <c r="T26" s="23">
        <f t="shared" si="5"/>
        <v>0</v>
      </c>
      <c r="U26" s="45">
        <f>IF(SUM(R26:T26)=0,0,SUM(R26:T26)/'Resid Cust Fcst '!BC27)</f>
        <v>0</v>
      </c>
      <c r="V26" s="137">
        <f>'Resid Cust Fcst '!$BD27*'Resid TSM UC Adj'!R26</f>
        <v>0</v>
      </c>
      <c r="W26" s="23">
        <f>'Resid Cust Fcst '!$BD27*'Resid TSM UC Adj'!S26</f>
        <v>0</v>
      </c>
      <c r="X26" s="23">
        <f>'Resid Cust Fcst '!$BD27*'Resid TSM UC Adj'!T26</f>
        <v>0</v>
      </c>
      <c r="Y26" s="45">
        <f>IF(SUM(V26:X26)=0,0,SUM(V26:X26)/'Resid Cust Fcst '!BD27)</f>
        <v>0</v>
      </c>
      <c r="Z26" s="137">
        <f t="shared" si="3"/>
        <v>0</v>
      </c>
      <c r="AA26" s="23">
        <f t="shared" si="6"/>
        <v>0</v>
      </c>
      <c r="AB26" s="23">
        <f t="shared" si="7"/>
        <v>0</v>
      </c>
      <c r="AC26" s="45">
        <f>IF(SUM(Z26:AB26)=0,0,SUM(Z26:AB26)/'Resid Cust Fcst '!BE27)</f>
        <v>0</v>
      </c>
    </row>
    <row r="27" spans="1:29">
      <c r="A27" s="153" t="s">
        <v>19</v>
      </c>
      <c r="B27" s="137">
        <f>'Resid Cust Fcst '!$AY28*'Resid TSM UC Adj'!J27</f>
        <v>0</v>
      </c>
      <c r="C27" s="23">
        <f>'Resid Cust Fcst '!$AY28*'Resid TSM UC Adj'!K27</f>
        <v>0</v>
      </c>
      <c r="D27" s="23">
        <f>'Resid Cust Fcst '!$AY28*'Resid TSM UC Adj'!L27</f>
        <v>0</v>
      </c>
      <c r="E27" s="45">
        <f>IF(SUM(B27:D27)=0,0,SUM(B27:D27)/'Resid Cust Fcst '!AY28)</f>
        <v>0</v>
      </c>
      <c r="F27" s="137">
        <f>'Resid Cust Fcst '!$AZ28*'Resid TSM UC Adj'!J27</f>
        <v>0</v>
      </c>
      <c r="G27" s="23">
        <f>'Resid Cust Fcst '!$AZ28*'Resid TSM UC Adj'!K27</f>
        <v>0</v>
      </c>
      <c r="H27" s="23">
        <f>'Resid Cust Fcst '!$AZ28*'Resid TSM UC Adj'!L27</f>
        <v>0</v>
      </c>
      <c r="I27" s="45">
        <f>IF(SUM(F27:H27)=0,0,SUM(F27:H27)/'Resid Cust Fcst '!AZ28)</f>
        <v>0</v>
      </c>
      <c r="J27" s="137">
        <f>'Resid Cust Fcst '!$BA28*'Resid TSM UC Adj'!J27</f>
        <v>0</v>
      </c>
      <c r="K27" s="23">
        <f>'Resid Cust Fcst '!$BA28*'Resid TSM UC Adj'!K27</f>
        <v>0</v>
      </c>
      <c r="L27" s="23">
        <f>'Resid Cust Fcst '!$BA28*'Resid TSM UC Adj'!L27</f>
        <v>0</v>
      </c>
      <c r="M27" s="45">
        <f>IF(SUM(J27:L27)=0,0,SUM(J27:L27)/'Resid Cust Fcst '!BA28)</f>
        <v>0</v>
      </c>
      <c r="N27" s="137">
        <f>'Resid Cust Fcst '!$BB28*'Resid TSM UC Adj'!N27</f>
        <v>0</v>
      </c>
      <c r="O27" s="23">
        <f>'Resid Cust Fcst '!$BB28*'Resid TSM UC Adj'!O27</f>
        <v>0</v>
      </c>
      <c r="P27" s="23">
        <f>'Resid Cust Fcst '!$BB28*'Resid TSM UC Adj'!P27</f>
        <v>0</v>
      </c>
      <c r="Q27" s="45">
        <f>IF(SUM(N27:P27)=0,0,SUM(N27:P27)/'Resid Cust Fcst '!BB28)</f>
        <v>0</v>
      </c>
      <c r="R27" s="137">
        <f t="shared" si="2"/>
        <v>0</v>
      </c>
      <c r="S27" s="23">
        <f t="shared" si="4"/>
        <v>0</v>
      </c>
      <c r="T27" s="23">
        <f t="shared" si="5"/>
        <v>0</v>
      </c>
      <c r="U27" s="45">
        <f>IF(SUM(R27:T27)=0,0,SUM(R27:T27)/'Resid Cust Fcst '!BC28)</f>
        <v>0</v>
      </c>
      <c r="V27" s="137">
        <f>'Resid Cust Fcst '!$BD28*'Resid TSM UC Adj'!R27</f>
        <v>0</v>
      </c>
      <c r="W27" s="23">
        <f>'Resid Cust Fcst '!$BD28*'Resid TSM UC Adj'!S27</f>
        <v>0</v>
      </c>
      <c r="X27" s="23">
        <f>'Resid Cust Fcst '!$BD28*'Resid TSM UC Adj'!T27</f>
        <v>0</v>
      </c>
      <c r="Y27" s="45">
        <f>IF(SUM(V27:X27)=0,0,SUM(V27:X27)/'Resid Cust Fcst '!BD28)</f>
        <v>0</v>
      </c>
      <c r="Z27" s="137">
        <f t="shared" si="3"/>
        <v>0</v>
      </c>
      <c r="AA27" s="23">
        <f t="shared" si="6"/>
        <v>0</v>
      </c>
      <c r="AB27" s="23">
        <f t="shared" si="7"/>
        <v>0</v>
      </c>
      <c r="AC27" s="45">
        <f>IF(SUM(Z27:AB27)=0,0,SUM(Z27:AB27)/'Resid Cust Fcst '!BE28)</f>
        <v>0</v>
      </c>
    </row>
    <row r="28" spans="1:29">
      <c r="A28" s="153" t="s">
        <v>20</v>
      </c>
      <c r="B28" s="137">
        <f>'Resid Cust Fcst '!$AY29*'Resid TSM UC Adj'!J28</f>
        <v>0</v>
      </c>
      <c r="C28" s="23">
        <f>'Resid Cust Fcst '!$AY29*'Resid TSM UC Adj'!K28</f>
        <v>0</v>
      </c>
      <c r="D28" s="23">
        <f>'Resid Cust Fcst '!$AY29*'Resid TSM UC Adj'!L28</f>
        <v>0</v>
      </c>
      <c r="E28" s="45">
        <f>IF(SUM(B28:D28)=0,0,SUM(B28:D28)/'Resid Cust Fcst '!AY29)</f>
        <v>0</v>
      </c>
      <c r="F28" s="137">
        <f>'Resid Cust Fcst '!$AZ29*'Resid TSM UC Adj'!J28</f>
        <v>0</v>
      </c>
      <c r="G28" s="23">
        <f>'Resid Cust Fcst '!$AZ29*'Resid TSM UC Adj'!K28</f>
        <v>0</v>
      </c>
      <c r="H28" s="23">
        <f>'Resid Cust Fcst '!$AZ29*'Resid TSM UC Adj'!L28</f>
        <v>0</v>
      </c>
      <c r="I28" s="45">
        <f>IF(SUM(F28:H28)=0,0,SUM(F28:H28)/'Resid Cust Fcst '!AZ29)</f>
        <v>0</v>
      </c>
      <c r="J28" s="137">
        <f>'Resid Cust Fcst '!$BA29*'Resid TSM UC Adj'!J28</f>
        <v>0</v>
      </c>
      <c r="K28" s="23">
        <f>'Resid Cust Fcst '!$BA29*'Resid TSM UC Adj'!K28</f>
        <v>0</v>
      </c>
      <c r="L28" s="23">
        <f>'Resid Cust Fcst '!$BA29*'Resid TSM UC Adj'!L28</f>
        <v>0</v>
      </c>
      <c r="M28" s="45">
        <f>IF(SUM(J28:L28)=0,0,SUM(J28:L28)/'Resid Cust Fcst '!BA29)</f>
        <v>0</v>
      </c>
      <c r="N28" s="137">
        <f>'Resid Cust Fcst '!$BB29*'Resid TSM UC Adj'!N28</f>
        <v>0</v>
      </c>
      <c r="O28" s="23">
        <f>'Resid Cust Fcst '!$BB29*'Resid TSM UC Adj'!O28</f>
        <v>0</v>
      </c>
      <c r="P28" s="23">
        <f>'Resid Cust Fcst '!$BB29*'Resid TSM UC Adj'!P28</f>
        <v>0</v>
      </c>
      <c r="Q28" s="45">
        <f>IF(SUM(N28:P28)=0,0,SUM(N28:P28)/'Resid Cust Fcst '!BB29)</f>
        <v>0</v>
      </c>
      <c r="R28" s="137">
        <f t="shared" si="2"/>
        <v>0</v>
      </c>
      <c r="S28" s="23">
        <f t="shared" si="4"/>
        <v>0</v>
      </c>
      <c r="T28" s="23">
        <f t="shared" si="5"/>
        <v>0</v>
      </c>
      <c r="U28" s="45">
        <f>IF(SUM(R28:T28)=0,0,SUM(R28:T28)/'Resid Cust Fcst '!BC29)</f>
        <v>0</v>
      </c>
      <c r="V28" s="137">
        <f>'Resid Cust Fcst '!$BD29*'Resid TSM UC Adj'!R28</f>
        <v>0</v>
      </c>
      <c r="W28" s="23">
        <f>'Resid Cust Fcst '!$BD29*'Resid TSM UC Adj'!S28</f>
        <v>0</v>
      </c>
      <c r="X28" s="23">
        <f>'Resid Cust Fcst '!$BD29*'Resid TSM UC Adj'!T28</f>
        <v>0</v>
      </c>
      <c r="Y28" s="45">
        <f>IF(SUM(V28:X28)=0,0,SUM(V28:X28)/'Resid Cust Fcst '!BD29)</f>
        <v>0</v>
      </c>
      <c r="Z28" s="137">
        <f t="shared" si="3"/>
        <v>0</v>
      </c>
      <c r="AA28" s="23">
        <f t="shared" si="6"/>
        <v>0</v>
      </c>
      <c r="AB28" s="23">
        <f t="shared" si="7"/>
        <v>0</v>
      </c>
      <c r="AC28" s="45">
        <f>IF(SUM(Z28:AB28)=0,0,SUM(Z28:AB28)/'Resid Cust Fcst '!BE29)</f>
        <v>0</v>
      </c>
    </row>
    <row r="29" spans="1:29">
      <c r="A29" s="153" t="s">
        <v>21</v>
      </c>
      <c r="B29" s="137">
        <f>'Resid Cust Fcst '!$AY30*'Resid TSM UC Adj'!J29</f>
        <v>0</v>
      </c>
      <c r="C29" s="23">
        <f>'Resid Cust Fcst '!$AY30*'Resid TSM UC Adj'!K29</f>
        <v>0</v>
      </c>
      <c r="D29" s="23">
        <f>'Resid Cust Fcst '!$AY30*'Resid TSM UC Adj'!L29</f>
        <v>0</v>
      </c>
      <c r="E29" s="45">
        <f>IF(SUM(B29:D29)=0,0,SUM(B29:D29)/'Resid Cust Fcst '!AY30)</f>
        <v>0</v>
      </c>
      <c r="F29" s="137">
        <f>'Resid Cust Fcst '!$AZ30*'Resid TSM UC Adj'!J29</f>
        <v>0</v>
      </c>
      <c r="G29" s="23">
        <f>'Resid Cust Fcst '!$AZ30*'Resid TSM UC Adj'!K29</f>
        <v>0</v>
      </c>
      <c r="H29" s="23">
        <f>'Resid Cust Fcst '!$AZ30*'Resid TSM UC Adj'!L29</f>
        <v>0</v>
      </c>
      <c r="I29" s="45">
        <f>IF(SUM(F29:H29)=0,0,SUM(F29:H29)/'Resid Cust Fcst '!AZ30)</f>
        <v>0</v>
      </c>
      <c r="J29" s="137">
        <f>'Resid Cust Fcst '!$BA30*'Resid TSM UC Adj'!J29</f>
        <v>0</v>
      </c>
      <c r="K29" s="23">
        <f>'Resid Cust Fcst '!$BA30*'Resid TSM UC Adj'!K29</f>
        <v>0</v>
      </c>
      <c r="L29" s="23">
        <f>'Resid Cust Fcst '!$BA30*'Resid TSM UC Adj'!L29</f>
        <v>0</v>
      </c>
      <c r="M29" s="45">
        <f>IF(SUM(J29:L29)=0,0,SUM(J29:L29)/'Resid Cust Fcst '!BA30)</f>
        <v>0</v>
      </c>
      <c r="N29" s="137">
        <f>'Resid Cust Fcst '!$BB30*'Resid TSM UC Adj'!N29</f>
        <v>0</v>
      </c>
      <c r="O29" s="23">
        <f>'Resid Cust Fcst '!$BB30*'Resid TSM UC Adj'!O29</f>
        <v>0</v>
      </c>
      <c r="P29" s="23">
        <f>'Resid Cust Fcst '!$BB30*'Resid TSM UC Adj'!P29</f>
        <v>0</v>
      </c>
      <c r="Q29" s="45">
        <f>IF(SUM(N29:P29)=0,0,SUM(N29:P29)/'Resid Cust Fcst '!BB30)</f>
        <v>0</v>
      </c>
      <c r="R29" s="137">
        <f t="shared" si="2"/>
        <v>0</v>
      </c>
      <c r="S29" s="23">
        <f t="shared" si="4"/>
        <v>0</v>
      </c>
      <c r="T29" s="23">
        <f t="shared" si="5"/>
        <v>0</v>
      </c>
      <c r="U29" s="45">
        <f>IF(SUM(R29:T29)=0,0,SUM(R29:T29)/'Resid Cust Fcst '!BC30)</f>
        <v>0</v>
      </c>
      <c r="V29" s="137">
        <f>'Resid Cust Fcst '!$BD30*'Resid TSM UC Adj'!R29</f>
        <v>0</v>
      </c>
      <c r="W29" s="23">
        <f>'Resid Cust Fcst '!$BD30*'Resid TSM UC Adj'!S29</f>
        <v>0</v>
      </c>
      <c r="X29" s="23">
        <f>'Resid Cust Fcst '!$BD30*'Resid TSM UC Adj'!T29</f>
        <v>0</v>
      </c>
      <c r="Y29" s="45">
        <f>IF(SUM(V29:X29)=0,0,SUM(V29:X29)/'Resid Cust Fcst '!BD30)</f>
        <v>0</v>
      </c>
      <c r="Z29" s="137">
        <f t="shared" si="3"/>
        <v>0</v>
      </c>
      <c r="AA29" s="23">
        <f t="shared" si="6"/>
        <v>0</v>
      </c>
      <c r="AB29" s="23">
        <f t="shared" si="7"/>
        <v>0</v>
      </c>
      <c r="AC29" s="45">
        <f>IF(SUM(Z29:AB29)=0,0,SUM(Z29:AB29)/'Resid Cust Fcst '!BE30)</f>
        <v>0</v>
      </c>
    </row>
    <row r="30" spans="1:29">
      <c r="A30" s="153" t="s">
        <v>22</v>
      </c>
      <c r="B30" s="137">
        <f>'Resid Cust Fcst '!$AY31*'Resid TSM UC Adj'!J30</f>
        <v>0</v>
      </c>
      <c r="C30" s="23">
        <f>'Resid Cust Fcst '!$AY31*'Resid TSM UC Adj'!K30</f>
        <v>0</v>
      </c>
      <c r="D30" s="23">
        <f>'Resid Cust Fcst '!$AY31*'Resid TSM UC Adj'!L30</f>
        <v>0</v>
      </c>
      <c r="E30" s="45">
        <f>IF(SUM(B30:D30)=0,0,SUM(B30:D30)/'Resid Cust Fcst '!AY31)</f>
        <v>0</v>
      </c>
      <c r="F30" s="137">
        <f>'Resid Cust Fcst '!$AZ31*'Resid TSM UC Adj'!J30</f>
        <v>0</v>
      </c>
      <c r="G30" s="23">
        <f>'Resid Cust Fcst '!$AZ31*'Resid TSM UC Adj'!K30</f>
        <v>0</v>
      </c>
      <c r="H30" s="23">
        <f>'Resid Cust Fcst '!$AZ31*'Resid TSM UC Adj'!L30</f>
        <v>0</v>
      </c>
      <c r="I30" s="45">
        <f>IF(SUM(F30:H30)=0,0,SUM(F30:H30)/'Resid Cust Fcst '!AZ31)</f>
        <v>0</v>
      </c>
      <c r="J30" s="137">
        <f>'Resid Cust Fcst '!$BA31*'Resid TSM UC Adj'!J30</f>
        <v>0</v>
      </c>
      <c r="K30" s="23">
        <f>'Resid Cust Fcst '!$BA31*'Resid TSM UC Adj'!K30</f>
        <v>0</v>
      </c>
      <c r="L30" s="23">
        <f>'Resid Cust Fcst '!$BA31*'Resid TSM UC Adj'!L30</f>
        <v>0</v>
      </c>
      <c r="M30" s="45">
        <f>IF(SUM(J30:L30)=0,0,SUM(J30:L30)/'Resid Cust Fcst '!BA31)</f>
        <v>0</v>
      </c>
      <c r="N30" s="137">
        <f>'Resid Cust Fcst '!$BB31*'Resid TSM UC Adj'!N30</f>
        <v>0</v>
      </c>
      <c r="O30" s="23">
        <f>'Resid Cust Fcst '!$BB31*'Resid TSM UC Adj'!O30</f>
        <v>0</v>
      </c>
      <c r="P30" s="23">
        <f>'Resid Cust Fcst '!$BB31*'Resid TSM UC Adj'!P30</f>
        <v>0</v>
      </c>
      <c r="Q30" s="45">
        <f>IF(SUM(N30:P30)=0,0,SUM(N30:P30)/'Resid Cust Fcst '!BB31)</f>
        <v>0</v>
      </c>
      <c r="R30" s="137">
        <f t="shared" si="2"/>
        <v>0</v>
      </c>
      <c r="S30" s="23">
        <f t="shared" si="4"/>
        <v>0</v>
      </c>
      <c r="T30" s="23">
        <f t="shared" si="5"/>
        <v>0</v>
      </c>
      <c r="U30" s="45">
        <f>IF(SUM(R30:T30)=0,0,SUM(R30:T30)/'Resid Cust Fcst '!BC31)</f>
        <v>0</v>
      </c>
      <c r="V30" s="137">
        <f>'Resid Cust Fcst '!$BD31*'Resid TSM UC Adj'!R30</f>
        <v>0</v>
      </c>
      <c r="W30" s="23">
        <f>'Resid Cust Fcst '!$BD31*'Resid TSM UC Adj'!S30</f>
        <v>0</v>
      </c>
      <c r="X30" s="23">
        <f>'Resid Cust Fcst '!$BD31*'Resid TSM UC Adj'!T30</f>
        <v>0</v>
      </c>
      <c r="Y30" s="45">
        <f>IF(SUM(V30:X30)=0,0,SUM(V30:X30)/'Resid Cust Fcst '!BD31)</f>
        <v>0</v>
      </c>
      <c r="Z30" s="137">
        <f t="shared" si="3"/>
        <v>0</v>
      </c>
      <c r="AA30" s="23">
        <f t="shared" si="6"/>
        <v>0</v>
      </c>
      <c r="AB30" s="23">
        <f t="shared" si="7"/>
        <v>0</v>
      </c>
      <c r="AC30" s="45">
        <f>IF(SUM(Z30:AB30)=0,0,SUM(Z30:AB30)/'Resid Cust Fcst '!BE31)</f>
        <v>0</v>
      </c>
    </row>
    <row r="31" spans="1:29">
      <c r="A31" s="153" t="s">
        <v>23</v>
      </c>
      <c r="B31" s="137">
        <f>'Resid Cust Fcst '!$AY32*'Resid TSM UC Adj'!J31</f>
        <v>0</v>
      </c>
      <c r="C31" s="23">
        <f>'Resid Cust Fcst '!$AY32*'Resid TSM UC Adj'!K31</f>
        <v>0</v>
      </c>
      <c r="D31" s="23">
        <f>'Resid Cust Fcst '!$AY32*'Resid TSM UC Adj'!L31</f>
        <v>0</v>
      </c>
      <c r="E31" s="45">
        <f>IF(SUM(B31:D31)=0,0,SUM(B31:D31)/'Resid Cust Fcst '!AY32)</f>
        <v>0</v>
      </c>
      <c r="F31" s="137">
        <f>'Resid Cust Fcst '!$AZ32*'Resid TSM UC Adj'!J31</f>
        <v>0</v>
      </c>
      <c r="G31" s="23">
        <f>'Resid Cust Fcst '!$AZ32*'Resid TSM UC Adj'!K31</f>
        <v>0</v>
      </c>
      <c r="H31" s="23">
        <f>'Resid Cust Fcst '!$AZ32*'Resid TSM UC Adj'!L31</f>
        <v>0</v>
      </c>
      <c r="I31" s="45">
        <f>IF(SUM(F31:H31)=0,0,SUM(F31:H31)/'Resid Cust Fcst '!AZ32)</f>
        <v>0</v>
      </c>
      <c r="J31" s="137">
        <f>'Resid Cust Fcst '!$BA32*'Resid TSM UC Adj'!J31</f>
        <v>0</v>
      </c>
      <c r="K31" s="23">
        <f>'Resid Cust Fcst '!$BA32*'Resid TSM UC Adj'!K31</f>
        <v>0</v>
      </c>
      <c r="L31" s="23">
        <f>'Resid Cust Fcst '!$BA32*'Resid TSM UC Adj'!L31</f>
        <v>0</v>
      </c>
      <c r="M31" s="45">
        <f>IF(SUM(J31:L31)=0,0,SUM(J31:L31)/'Resid Cust Fcst '!BA32)</f>
        <v>0</v>
      </c>
      <c r="N31" s="137">
        <f>'Resid Cust Fcst '!$BB32*'Resid TSM UC Adj'!N31</f>
        <v>0</v>
      </c>
      <c r="O31" s="23">
        <f>'Resid Cust Fcst '!$BB32*'Resid TSM UC Adj'!O31</f>
        <v>0</v>
      </c>
      <c r="P31" s="23">
        <f>'Resid Cust Fcst '!$BB32*'Resid TSM UC Adj'!P31</f>
        <v>0</v>
      </c>
      <c r="Q31" s="45">
        <f>IF(SUM(N31:P31)=0,0,SUM(N31:P31)/'Resid Cust Fcst '!BB32)</f>
        <v>0</v>
      </c>
      <c r="R31" s="137">
        <f t="shared" si="2"/>
        <v>0</v>
      </c>
      <c r="S31" s="23">
        <f t="shared" si="4"/>
        <v>0</v>
      </c>
      <c r="T31" s="23">
        <f t="shared" si="5"/>
        <v>0</v>
      </c>
      <c r="U31" s="45">
        <f>IF(SUM(R31:T31)=0,0,SUM(R31:T31)/'Resid Cust Fcst '!BC32)</f>
        <v>0</v>
      </c>
      <c r="V31" s="137">
        <f>'Resid Cust Fcst '!$BD32*'Resid TSM UC Adj'!R31</f>
        <v>0</v>
      </c>
      <c r="W31" s="23">
        <f>'Resid Cust Fcst '!$BD32*'Resid TSM UC Adj'!S31</f>
        <v>0</v>
      </c>
      <c r="X31" s="23">
        <f>'Resid Cust Fcst '!$BD32*'Resid TSM UC Adj'!T31</f>
        <v>0</v>
      </c>
      <c r="Y31" s="45">
        <f>IF(SUM(V31:X31)=0,0,SUM(V31:X31)/'Resid Cust Fcst '!BD32)</f>
        <v>0</v>
      </c>
      <c r="Z31" s="137">
        <f t="shared" si="3"/>
        <v>0</v>
      </c>
      <c r="AA31" s="23">
        <f t="shared" si="6"/>
        <v>0</v>
      </c>
      <c r="AB31" s="23">
        <f t="shared" si="7"/>
        <v>0</v>
      </c>
      <c r="AC31" s="45">
        <f>IF(SUM(Z31:AB31)=0,0,SUM(Z31:AB31)/'Resid Cust Fcst '!BE32)</f>
        <v>0</v>
      </c>
    </row>
    <row r="32" spans="1:29">
      <c r="A32" s="153" t="s">
        <v>24</v>
      </c>
      <c r="B32" s="137">
        <f>'Resid Cust Fcst '!$AY33*'Resid TSM UC Adj'!J32</f>
        <v>0</v>
      </c>
      <c r="C32" s="23">
        <f>'Resid Cust Fcst '!$AY33*'Resid TSM UC Adj'!K32</f>
        <v>0</v>
      </c>
      <c r="D32" s="23">
        <f>'Resid Cust Fcst '!$AY33*'Resid TSM UC Adj'!L32</f>
        <v>0</v>
      </c>
      <c r="E32" s="45">
        <f>IF(SUM(B32:D32)=0,0,SUM(B32:D32)/'Resid Cust Fcst '!AY33)</f>
        <v>0</v>
      </c>
      <c r="F32" s="137">
        <f>'Resid Cust Fcst '!$AZ33*'Resid TSM UC Adj'!J32</f>
        <v>0</v>
      </c>
      <c r="G32" s="23">
        <f>'Resid Cust Fcst '!$AZ33*'Resid TSM UC Adj'!K32</f>
        <v>0</v>
      </c>
      <c r="H32" s="23">
        <f>'Resid Cust Fcst '!$AZ33*'Resid TSM UC Adj'!L32</f>
        <v>0</v>
      </c>
      <c r="I32" s="45">
        <f>IF(SUM(F32:H32)=0,0,SUM(F32:H32)/'Resid Cust Fcst '!AZ33)</f>
        <v>0</v>
      </c>
      <c r="J32" s="137">
        <f>'Resid Cust Fcst '!$BA33*'Resid TSM UC Adj'!J32</f>
        <v>0</v>
      </c>
      <c r="K32" s="23">
        <f>'Resid Cust Fcst '!$BA33*'Resid TSM UC Adj'!K32</f>
        <v>0</v>
      </c>
      <c r="L32" s="23">
        <f>'Resid Cust Fcst '!$BA33*'Resid TSM UC Adj'!L32</f>
        <v>0</v>
      </c>
      <c r="M32" s="45">
        <f>IF(SUM(J32:L32)=0,0,SUM(J32:L32)/'Resid Cust Fcst '!BA33)</f>
        <v>0</v>
      </c>
      <c r="N32" s="137">
        <f>'Resid Cust Fcst '!$BB33*'Resid TSM UC Adj'!N32</f>
        <v>0</v>
      </c>
      <c r="O32" s="23">
        <f>'Resid Cust Fcst '!$BB33*'Resid TSM UC Adj'!O32</f>
        <v>0</v>
      </c>
      <c r="P32" s="23">
        <f>'Resid Cust Fcst '!$BB33*'Resid TSM UC Adj'!P32</f>
        <v>0</v>
      </c>
      <c r="Q32" s="45">
        <f>IF(SUM(N32:P32)=0,0,SUM(N32:P32)/'Resid Cust Fcst '!BB33)</f>
        <v>0</v>
      </c>
      <c r="R32" s="137">
        <f t="shared" si="2"/>
        <v>0</v>
      </c>
      <c r="S32" s="23">
        <f t="shared" si="4"/>
        <v>0</v>
      </c>
      <c r="T32" s="23">
        <f t="shared" si="5"/>
        <v>0</v>
      </c>
      <c r="U32" s="45">
        <f>IF(SUM(R32:T32)=0,0,SUM(R32:T32)/'Resid Cust Fcst '!BC33)</f>
        <v>0</v>
      </c>
      <c r="V32" s="137">
        <f>'Resid Cust Fcst '!$BD33*'Resid TSM UC Adj'!R32</f>
        <v>0</v>
      </c>
      <c r="W32" s="23">
        <f>'Resid Cust Fcst '!$BD33*'Resid TSM UC Adj'!S32</f>
        <v>0</v>
      </c>
      <c r="X32" s="23">
        <f>'Resid Cust Fcst '!$BD33*'Resid TSM UC Adj'!T32</f>
        <v>0</v>
      </c>
      <c r="Y32" s="45">
        <f>IF(SUM(V32:X32)=0,0,SUM(V32:X32)/'Resid Cust Fcst '!BD33)</f>
        <v>0</v>
      </c>
      <c r="Z32" s="137">
        <f t="shared" si="3"/>
        <v>0</v>
      </c>
      <c r="AA32" s="23">
        <f t="shared" si="6"/>
        <v>0</v>
      </c>
      <c r="AB32" s="23">
        <f t="shared" si="7"/>
        <v>0</v>
      </c>
      <c r="AC32" s="45">
        <f>IF(SUM(Z32:AB32)=0,0,SUM(Z32:AB32)/'Resid Cust Fcst '!BE33)</f>
        <v>0</v>
      </c>
    </row>
    <row r="33" spans="1:29">
      <c r="A33" s="153" t="s">
        <v>25</v>
      </c>
      <c r="B33" s="137">
        <f>'Resid Cust Fcst '!$AY34*'Resid TSM UC Adj'!J33</f>
        <v>0</v>
      </c>
      <c r="C33" s="23">
        <f>'Resid Cust Fcst '!$AY34*'Resid TSM UC Adj'!K33</f>
        <v>0</v>
      </c>
      <c r="D33" s="23">
        <f>'Resid Cust Fcst '!$AY34*'Resid TSM UC Adj'!L33</f>
        <v>0</v>
      </c>
      <c r="E33" s="45">
        <f>IF(SUM(B33:D33)=0,0,SUM(B33:D33)/'Resid Cust Fcst '!AY34)</f>
        <v>0</v>
      </c>
      <c r="F33" s="137">
        <f>'Resid Cust Fcst '!$AZ34*'Resid TSM UC Adj'!J33</f>
        <v>0</v>
      </c>
      <c r="G33" s="23">
        <f>'Resid Cust Fcst '!$AZ34*'Resid TSM UC Adj'!K33</f>
        <v>0</v>
      </c>
      <c r="H33" s="23">
        <f>'Resid Cust Fcst '!$AZ34*'Resid TSM UC Adj'!L33</f>
        <v>0</v>
      </c>
      <c r="I33" s="45">
        <f>IF(SUM(F33:H33)=0,0,SUM(F33:H33)/'Resid Cust Fcst '!AZ34)</f>
        <v>0</v>
      </c>
      <c r="J33" s="137">
        <f>'Resid Cust Fcst '!$BA34*'Resid TSM UC Adj'!J33</f>
        <v>0</v>
      </c>
      <c r="K33" s="23">
        <f>'Resid Cust Fcst '!$BA34*'Resid TSM UC Adj'!K33</f>
        <v>0</v>
      </c>
      <c r="L33" s="23">
        <f>'Resid Cust Fcst '!$BA34*'Resid TSM UC Adj'!L33</f>
        <v>0</v>
      </c>
      <c r="M33" s="45">
        <f>IF(SUM(J33:L33)=0,0,SUM(J33:L33)/'Resid Cust Fcst '!BA34)</f>
        <v>0</v>
      </c>
      <c r="N33" s="137">
        <f>'Resid Cust Fcst '!$BB34*'Resid TSM UC Adj'!N33</f>
        <v>0</v>
      </c>
      <c r="O33" s="23">
        <f>'Resid Cust Fcst '!$BB34*'Resid TSM UC Adj'!O33</f>
        <v>0</v>
      </c>
      <c r="P33" s="23">
        <f>'Resid Cust Fcst '!$BB34*'Resid TSM UC Adj'!P33</f>
        <v>0</v>
      </c>
      <c r="Q33" s="45">
        <f>IF(SUM(N33:P33)=0,0,SUM(N33:P33)/'Resid Cust Fcst '!BB34)</f>
        <v>0</v>
      </c>
      <c r="R33" s="137">
        <f t="shared" si="2"/>
        <v>0</v>
      </c>
      <c r="S33" s="23">
        <f t="shared" si="4"/>
        <v>0</v>
      </c>
      <c r="T33" s="23">
        <f t="shared" si="5"/>
        <v>0</v>
      </c>
      <c r="U33" s="45">
        <f>IF(SUM(R33:T33)=0,0,SUM(R33:T33)/'Resid Cust Fcst '!BC34)</f>
        <v>0</v>
      </c>
      <c r="V33" s="137">
        <f>'Resid Cust Fcst '!$BD34*'Resid TSM UC Adj'!R33</f>
        <v>0</v>
      </c>
      <c r="W33" s="23">
        <f>'Resid Cust Fcst '!$BD34*'Resid TSM UC Adj'!S33</f>
        <v>0</v>
      </c>
      <c r="X33" s="23">
        <f>'Resid Cust Fcst '!$BD34*'Resid TSM UC Adj'!T33</f>
        <v>0</v>
      </c>
      <c r="Y33" s="45">
        <f>IF(SUM(V33:X33)=0,0,SUM(V33:X33)/'Resid Cust Fcst '!BD34)</f>
        <v>0</v>
      </c>
      <c r="Z33" s="137">
        <f t="shared" si="3"/>
        <v>0</v>
      </c>
      <c r="AA33" s="23">
        <f t="shared" si="6"/>
        <v>0</v>
      </c>
      <c r="AB33" s="23">
        <f t="shared" si="7"/>
        <v>0</v>
      </c>
      <c r="AC33" s="45">
        <f>IF(SUM(Z33:AB33)=0,0,SUM(Z33:AB33)/'Resid Cust Fcst '!BE34)</f>
        <v>0</v>
      </c>
    </row>
    <row r="34" spans="1:29">
      <c r="A34" s="153" t="s">
        <v>125</v>
      </c>
      <c r="B34" s="137">
        <f>'Resid Cust Fcst '!$AY35*'Resid TSM UC Adj'!J34</f>
        <v>0</v>
      </c>
      <c r="C34" s="23">
        <f>'Resid Cust Fcst '!$AY35*'Resid TSM UC Adj'!K34</f>
        <v>0</v>
      </c>
      <c r="D34" s="23">
        <f>'Resid Cust Fcst '!$AY35*'Resid TSM UC Adj'!L34</f>
        <v>0</v>
      </c>
      <c r="E34" s="45">
        <f>IF(SUM(B34:D34)=0,0,SUM(B34:D34)/'Resid Cust Fcst '!AY35)</f>
        <v>0</v>
      </c>
      <c r="F34" s="137">
        <f>'Resid Cust Fcst '!$AZ35*'Resid TSM UC Adj'!J34</f>
        <v>0</v>
      </c>
      <c r="G34" s="23">
        <f>'Resid Cust Fcst '!$AZ35*'Resid TSM UC Adj'!K34</f>
        <v>0</v>
      </c>
      <c r="H34" s="23">
        <f>'Resid Cust Fcst '!$AZ35*'Resid TSM UC Adj'!L34</f>
        <v>0</v>
      </c>
      <c r="I34" s="45">
        <f>IF(SUM(F34:H34)=0,0,SUM(F34:H34)/'Resid Cust Fcst '!AZ35)</f>
        <v>0</v>
      </c>
      <c r="J34" s="137">
        <f>'Resid Cust Fcst '!$BA35*'Resid TSM UC Adj'!J34</f>
        <v>0</v>
      </c>
      <c r="K34" s="23">
        <f>'Resid Cust Fcst '!$BA35*'Resid TSM UC Adj'!K34</f>
        <v>0</v>
      </c>
      <c r="L34" s="23">
        <f>'Resid Cust Fcst '!$BA35*'Resid TSM UC Adj'!L34</f>
        <v>0</v>
      </c>
      <c r="M34" s="45">
        <f>IF(SUM(J34:L34)=0,0,SUM(J34:L34)/'Resid Cust Fcst '!BA35)</f>
        <v>0</v>
      </c>
      <c r="N34" s="137">
        <f>'Resid Cust Fcst '!$BB35*'Resid TSM UC Adj'!N34</f>
        <v>0</v>
      </c>
      <c r="O34" s="23">
        <f>'Resid Cust Fcst '!$BB35*'Resid TSM UC Adj'!O34</f>
        <v>0</v>
      </c>
      <c r="P34" s="23">
        <f>'Resid Cust Fcst '!$BB35*'Resid TSM UC Adj'!P34</f>
        <v>0</v>
      </c>
      <c r="Q34" s="45">
        <f>IF(SUM(N34:P34)=0,0,SUM(N34:P34)/'Resid Cust Fcst '!BB35)</f>
        <v>0</v>
      </c>
      <c r="R34" s="137">
        <f t="shared" si="2"/>
        <v>0</v>
      </c>
      <c r="S34" s="23">
        <f t="shared" si="4"/>
        <v>0</v>
      </c>
      <c r="T34" s="23">
        <f t="shared" si="5"/>
        <v>0</v>
      </c>
      <c r="U34" s="45">
        <f>IF(SUM(R34:T34)=0,0,SUM(R34:T34)/'Resid Cust Fcst '!BC35)</f>
        <v>0</v>
      </c>
      <c r="V34" s="137">
        <f>'Resid Cust Fcst '!$BD35*'Resid TSM UC Adj'!R34</f>
        <v>0</v>
      </c>
      <c r="W34" s="23">
        <f>'Resid Cust Fcst '!$BD35*'Resid TSM UC Adj'!S34</f>
        <v>0</v>
      </c>
      <c r="X34" s="23">
        <f>'Resid Cust Fcst '!$BD35*'Resid TSM UC Adj'!T34</f>
        <v>0</v>
      </c>
      <c r="Y34" s="45">
        <f>IF(SUM(V34:X34)=0,0,SUM(V34:X34)/'Resid Cust Fcst '!BD35)</f>
        <v>0</v>
      </c>
      <c r="Z34" s="137">
        <f t="shared" si="3"/>
        <v>0</v>
      </c>
      <c r="AA34" s="23">
        <f t="shared" si="6"/>
        <v>0</v>
      </c>
      <c r="AB34" s="23">
        <f t="shared" si="7"/>
        <v>0</v>
      </c>
      <c r="AC34" s="45">
        <f>IF(SUM(Z34:AB34)=0,0,SUM(Z34:AB34)/'Resid Cust Fcst '!BE35)</f>
        <v>0</v>
      </c>
    </row>
    <row r="35" spans="1:29">
      <c r="A35" s="153" t="s">
        <v>126</v>
      </c>
      <c r="B35" s="137">
        <f>'Resid Cust Fcst '!$AY36*'Resid TSM UC Adj'!J35</f>
        <v>0</v>
      </c>
      <c r="C35" s="23">
        <f>'Resid Cust Fcst '!$AY36*'Resid TSM UC Adj'!K35</f>
        <v>0</v>
      </c>
      <c r="D35" s="23">
        <f>'Resid Cust Fcst '!$AY36*'Resid TSM UC Adj'!L35</f>
        <v>0</v>
      </c>
      <c r="E35" s="45">
        <f>IF(SUM(B35:D35)=0,0,SUM(B35:D35)/'Resid Cust Fcst '!AY36)</f>
        <v>0</v>
      </c>
      <c r="F35" s="137">
        <f>'Resid Cust Fcst '!$AZ36*'Resid TSM UC Adj'!J35</f>
        <v>0</v>
      </c>
      <c r="G35" s="23">
        <f>'Resid Cust Fcst '!$AZ36*'Resid TSM UC Adj'!K35</f>
        <v>0</v>
      </c>
      <c r="H35" s="23">
        <f>'Resid Cust Fcst '!$AZ36*'Resid TSM UC Adj'!L35</f>
        <v>0</v>
      </c>
      <c r="I35" s="45">
        <f>IF(SUM(F35:H35)=0,0,SUM(F35:H35)/'Resid Cust Fcst '!AZ36)</f>
        <v>0</v>
      </c>
      <c r="J35" s="137">
        <f>'Resid Cust Fcst '!$BA36*'Resid TSM UC Adj'!J35</f>
        <v>0</v>
      </c>
      <c r="K35" s="23">
        <f>'Resid Cust Fcst '!$BA36*'Resid TSM UC Adj'!K35</f>
        <v>0</v>
      </c>
      <c r="L35" s="23">
        <f>'Resid Cust Fcst '!$BA36*'Resid TSM UC Adj'!L35</f>
        <v>0</v>
      </c>
      <c r="M35" s="45">
        <f>IF(SUM(J35:L35)=0,0,SUM(J35:L35)/'Resid Cust Fcst '!BA36)</f>
        <v>0</v>
      </c>
      <c r="N35" s="137">
        <f>'Resid Cust Fcst '!$BB36*'Resid TSM UC Adj'!N35</f>
        <v>0</v>
      </c>
      <c r="O35" s="23">
        <f>'Resid Cust Fcst '!$BB36*'Resid TSM UC Adj'!O35</f>
        <v>0</v>
      </c>
      <c r="P35" s="23">
        <f>'Resid Cust Fcst '!$BB36*'Resid TSM UC Adj'!P35</f>
        <v>0</v>
      </c>
      <c r="Q35" s="45">
        <f>IF(SUM(N35:P35)=0,0,SUM(N35:P35)/'Resid Cust Fcst '!BB36)</f>
        <v>0</v>
      </c>
      <c r="R35" s="137">
        <f t="shared" si="2"/>
        <v>0</v>
      </c>
      <c r="S35" s="23">
        <f t="shared" si="4"/>
        <v>0</v>
      </c>
      <c r="T35" s="23">
        <f t="shared" si="5"/>
        <v>0</v>
      </c>
      <c r="U35" s="45">
        <f>IF(SUM(R35:T35)=0,0,SUM(R35:T35)/'Resid Cust Fcst '!BC36)</f>
        <v>0</v>
      </c>
      <c r="V35" s="137">
        <f>'Resid Cust Fcst '!$BD36*'Resid TSM UC Adj'!R35</f>
        <v>0</v>
      </c>
      <c r="W35" s="23">
        <f>'Resid Cust Fcst '!$BD36*'Resid TSM UC Adj'!S35</f>
        <v>0</v>
      </c>
      <c r="X35" s="23">
        <f>'Resid Cust Fcst '!$BD36*'Resid TSM UC Adj'!T35</f>
        <v>0</v>
      </c>
      <c r="Y35" s="45">
        <f>IF(SUM(V35:X35)=0,0,SUM(V35:X35)/'Resid Cust Fcst '!BD36)</f>
        <v>0</v>
      </c>
      <c r="Z35" s="137">
        <f t="shared" si="3"/>
        <v>0</v>
      </c>
      <c r="AA35" s="23">
        <f t="shared" si="6"/>
        <v>0</v>
      </c>
      <c r="AB35" s="23">
        <f t="shared" si="7"/>
        <v>0</v>
      </c>
      <c r="AC35" s="45">
        <f>IF(SUM(Z35:AB35)=0,0,SUM(Z35:AB35)/'Resid Cust Fcst '!BE36)</f>
        <v>0</v>
      </c>
    </row>
    <row r="36" spans="1:29">
      <c r="A36" s="153" t="s">
        <v>26</v>
      </c>
      <c r="B36" s="137">
        <f>'Resid Cust Fcst '!$AY37*'Resid TSM UC Adj'!J36</f>
        <v>0</v>
      </c>
      <c r="C36" s="23">
        <f>'Resid Cust Fcst '!$AY37*'Resid TSM UC Adj'!K36</f>
        <v>0</v>
      </c>
      <c r="D36" s="23">
        <f>'Resid Cust Fcst '!$AY37*'Resid TSM UC Adj'!L36</f>
        <v>0</v>
      </c>
      <c r="E36" s="45">
        <f>IF(SUM(B36:D36)=0,0,SUM(B36:D36)/'Resid Cust Fcst '!AY37)</f>
        <v>0</v>
      </c>
      <c r="F36" s="137">
        <f>'Resid Cust Fcst '!$AZ37*'Resid TSM UC Adj'!J36</f>
        <v>0</v>
      </c>
      <c r="G36" s="23">
        <f>'Resid Cust Fcst '!$AZ37*'Resid TSM UC Adj'!K36</f>
        <v>0</v>
      </c>
      <c r="H36" s="23">
        <f>'Resid Cust Fcst '!$AZ37*'Resid TSM UC Adj'!L36</f>
        <v>0</v>
      </c>
      <c r="I36" s="45">
        <f>IF(SUM(F36:H36)=0,0,SUM(F36:H36)/'Resid Cust Fcst '!AZ37)</f>
        <v>0</v>
      </c>
      <c r="J36" s="137">
        <f>'Resid Cust Fcst '!$BA37*'Resid TSM UC Adj'!J36</f>
        <v>0</v>
      </c>
      <c r="K36" s="23">
        <f>'Resid Cust Fcst '!$BA37*'Resid TSM UC Adj'!K36</f>
        <v>0</v>
      </c>
      <c r="L36" s="23">
        <f>'Resid Cust Fcst '!$BA37*'Resid TSM UC Adj'!L36</f>
        <v>0</v>
      </c>
      <c r="M36" s="45">
        <f>IF(SUM(J36:L36)=0,0,SUM(J36:L36)/'Resid Cust Fcst '!BA37)</f>
        <v>0</v>
      </c>
      <c r="N36" s="137">
        <f>'Resid Cust Fcst '!$BB37*'Resid TSM UC Adj'!N36</f>
        <v>0</v>
      </c>
      <c r="O36" s="23">
        <f>'Resid Cust Fcst '!$BB37*'Resid TSM UC Adj'!O36</f>
        <v>0</v>
      </c>
      <c r="P36" s="23">
        <f>'Resid Cust Fcst '!$BB37*'Resid TSM UC Adj'!P36</f>
        <v>0</v>
      </c>
      <c r="Q36" s="45">
        <f>IF(SUM(N36:P36)=0,0,SUM(N36:P36)/'Resid Cust Fcst '!BB37)</f>
        <v>0</v>
      </c>
      <c r="R36" s="137">
        <f t="shared" si="2"/>
        <v>0</v>
      </c>
      <c r="S36" s="23">
        <f t="shared" si="4"/>
        <v>0</v>
      </c>
      <c r="T36" s="23">
        <f t="shared" si="5"/>
        <v>0</v>
      </c>
      <c r="U36" s="45">
        <f>IF(SUM(R36:T36)=0,0,SUM(R36:T36)/'Resid Cust Fcst '!BC37)</f>
        <v>0</v>
      </c>
      <c r="V36" s="137">
        <f>'Resid Cust Fcst '!$BD37*'Resid TSM UC Adj'!R36</f>
        <v>0</v>
      </c>
      <c r="W36" s="23">
        <f>'Resid Cust Fcst '!$BD37*'Resid TSM UC Adj'!S36</f>
        <v>0</v>
      </c>
      <c r="X36" s="23">
        <f>'Resid Cust Fcst '!$BD37*'Resid TSM UC Adj'!T36</f>
        <v>0</v>
      </c>
      <c r="Y36" s="45">
        <f>IF(SUM(V36:X36)=0,0,SUM(V36:X36)/'Resid Cust Fcst '!BD37)</f>
        <v>0</v>
      </c>
      <c r="Z36" s="137">
        <f t="shared" si="3"/>
        <v>0</v>
      </c>
      <c r="AA36" s="23">
        <f t="shared" si="6"/>
        <v>0</v>
      </c>
      <c r="AB36" s="23">
        <f t="shared" si="7"/>
        <v>0</v>
      </c>
      <c r="AC36" s="45">
        <f>IF(SUM(Z36:AB36)=0,0,SUM(Z36:AB36)/'Resid Cust Fcst '!BE37)</f>
        <v>0</v>
      </c>
    </row>
    <row r="37" spans="1:29">
      <c r="A37" s="153" t="s">
        <v>27</v>
      </c>
      <c r="B37" s="137">
        <f>'Resid Cust Fcst '!$AY38*'Resid TSM UC Adj'!J37</f>
        <v>0</v>
      </c>
      <c r="C37" s="23">
        <f>'Resid Cust Fcst '!$AY38*'Resid TSM UC Adj'!K37</f>
        <v>0</v>
      </c>
      <c r="D37" s="23">
        <f>'Resid Cust Fcst '!$AY38*'Resid TSM UC Adj'!L37</f>
        <v>0</v>
      </c>
      <c r="E37" s="45">
        <f>IF(SUM(B37:D37)=0,0,SUM(B37:D37)/'Resid Cust Fcst '!AY38)</f>
        <v>0</v>
      </c>
      <c r="F37" s="137">
        <f>'Resid Cust Fcst '!$AZ38*'Resid TSM UC Adj'!J37</f>
        <v>0</v>
      </c>
      <c r="G37" s="23">
        <f>'Resid Cust Fcst '!$AZ38*'Resid TSM UC Adj'!K37</f>
        <v>0</v>
      </c>
      <c r="H37" s="23">
        <f>'Resid Cust Fcst '!$AZ38*'Resid TSM UC Adj'!L37</f>
        <v>0</v>
      </c>
      <c r="I37" s="45">
        <f>IF(SUM(F37:H37)=0,0,SUM(F37:H37)/'Resid Cust Fcst '!AZ38)</f>
        <v>0</v>
      </c>
      <c r="J37" s="137">
        <f>'Resid Cust Fcst '!$BA38*'Resid TSM UC Adj'!J37</f>
        <v>0</v>
      </c>
      <c r="K37" s="23">
        <f>'Resid Cust Fcst '!$BA38*'Resid TSM UC Adj'!K37</f>
        <v>0</v>
      </c>
      <c r="L37" s="23">
        <f>'Resid Cust Fcst '!$BA38*'Resid TSM UC Adj'!L37</f>
        <v>0</v>
      </c>
      <c r="M37" s="45">
        <f>IF(SUM(J37:L37)=0,0,SUM(J37:L37)/'Resid Cust Fcst '!BA38)</f>
        <v>0</v>
      </c>
      <c r="N37" s="137">
        <f>'Resid Cust Fcst '!$BB38*'Resid TSM UC Adj'!N37</f>
        <v>0</v>
      </c>
      <c r="O37" s="23">
        <f>'Resid Cust Fcst '!$BB38*'Resid TSM UC Adj'!O37</f>
        <v>0</v>
      </c>
      <c r="P37" s="23">
        <f>'Resid Cust Fcst '!$BB38*'Resid TSM UC Adj'!P37</f>
        <v>0</v>
      </c>
      <c r="Q37" s="45">
        <f>IF(SUM(N37:P37)=0,0,SUM(N37:P37)/'Resid Cust Fcst '!BB38)</f>
        <v>0</v>
      </c>
      <c r="R37" s="137">
        <f t="shared" si="2"/>
        <v>0</v>
      </c>
      <c r="S37" s="23">
        <f t="shared" si="4"/>
        <v>0</v>
      </c>
      <c r="T37" s="23">
        <f t="shared" si="5"/>
        <v>0</v>
      </c>
      <c r="U37" s="45">
        <f>IF(SUM(R37:T37)=0,0,SUM(R37:T37)/'Resid Cust Fcst '!BC38)</f>
        <v>0</v>
      </c>
      <c r="V37" s="137">
        <f>'Resid Cust Fcst '!$BD38*'Resid TSM UC Adj'!R37</f>
        <v>0</v>
      </c>
      <c r="W37" s="23">
        <f>'Resid Cust Fcst '!$BD38*'Resid TSM UC Adj'!S37</f>
        <v>0</v>
      </c>
      <c r="X37" s="23">
        <f>'Resid Cust Fcst '!$BD38*'Resid TSM UC Adj'!T37</f>
        <v>0</v>
      </c>
      <c r="Y37" s="45">
        <f>IF(SUM(V37:X37)=0,0,SUM(V37:X37)/'Resid Cust Fcst '!BD38)</f>
        <v>0</v>
      </c>
      <c r="Z37" s="137">
        <f t="shared" si="3"/>
        <v>0</v>
      </c>
      <c r="AA37" s="23">
        <f t="shared" si="6"/>
        <v>0</v>
      </c>
      <c r="AB37" s="23">
        <f t="shared" si="7"/>
        <v>0</v>
      </c>
      <c r="AC37" s="45">
        <f>IF(SUM(Z37:AB37)=0,0,SUM(Z37:AB37)/'Resid Cust Fcst '!BE38)</f>
        <v>0</v>
      </c>
    </row>
    <row r="38" spans="1:29" ht="13.5" thickBot="1">
      <c r="A38" s="156"/>
      <c r="B38" s="137"/>
      <c r="C38" s="23"/>
      <c r="D38" s="23"/>
      <c r="E38" s="45"/>
      <c r="F38" s="137"/>
      <c r="G38" s="23"/>
      <c r="H38" s="23"/>
      <c r="I38" s="45"/>
      <c r="J38" s="137"/>
      <c r="K38" s="23"/>
      <c r="L38" s="23"/>
      <c r="M38" s="45"/>
      <c r="N38" s="137"/>
      <c r="O38" s="23"/>
      <c r="P38" s="23"/>
      <c r="Q38" s="45"/>
      <c r="R38" s="244"/>
      <c r="S38" s="240"/>
      <c r="T38" s="240"/>
      <c r="U38" s="249"/>
      <c r="V38" s="137"/>
      <c r="W38" s="23"/>
      <c r="X38" s="23"/>
      <c r="Y38" s="45"/>
      <c r="Z38" s="137"/>
      <c r="AA38" s="23"/>
      <c r="AB38" s="23"/>
      <c r="AC38" s="45"/>
    </row>
    <row r="39" spans="1:29" ht="13.5" thickBot="1">
      <c r="A39" s="245" t="s">
        <v>2</v>
      </c>
      <c r="B39" s="317">
        <f>IF(SUM(B7:B37)=0,0,SUM(B7:B37)/'Resid Cust Fcst '!$AY$40)</f>
        <v>828.04049093127196</v>
      </c>
      <c r="C39" s="318">
        <f>IF(SUM(C7:C37)=0,0,SUM(C7:C37)/'Resid Cust Fcst '!$AY$40)</f>
        <v>188.98166257127613</v>
      </c>
      <c r="D39" s="318">
        <f>IF(SUM(D7:D37)=0,0,SUM(D7:D37)/'Resid Cust Fcst '!$AY$40)</f>
        <v>246.24333484162895</v>
      </c>
      <c r="E39" s="319">
        <f>SUM(B39:D39)</f>
        <v>1263.2654883441771</v>
      </c>
      <c r="F39" s="317">
        <f>IF(SUM(F7:F37)=0,0,SUM(F7:F37)/'Resid Cust Fcst '!$AZ$40)</f>
        <v>1901.6524691298193</v>
      </c>
      <c r="G39" s="318">
        <f>IF(SUM(G7:G37)=0,0,SUM(G7:G37)/'Resid Cust Fcst '!$AZ$40)</f>
        <v>888.28562532861781</v>
      </c>
      <c r="H39" s="318">
        <f>IF(SUM(H7:H37)=0,0,SUM(H7:H37)/'Resid Cust Fcst '!$AZ$40)</f>
        <v>373.18</v>
      </c>
      <c r="I39" s="319">
        <f>SUM(F39:H39)</f>
        <v>3163.1180944584371</v>
      </c>
      <c r="J39" s="317">
        <f>IF(SUM(J7:J37)=0,0,SUM(J7:J37)/'Resid Cust Fcst '!$BA40)</f>
        <v>1127.2102973038027</v>
      </c>
      <c r="K39" s="318">
        <f>IF(SUM(K7:K37)=0,0,SUM(K7:K37)/'Resid Cust Fcst '!$BA$40)</f>
        <v>1740.6097026961972</v>
      </c>
      <c r="L39" s="318">
        <f>IF(SUM(L7:L37)=0,0,SUM(L7:L37)/'Resid Cust Fcst '!$BA$40)</f>
        <v>373.18</v>
      </c>
      <c r="M39" s="319">
        <f>SUM(J39:L39)</f>
        <v>3240.9999999999995</v>
      </c>
      <c r="N39" s="317">
        <f>IF(SUM(N7:N37)=0,0,SUM(N7:N37)/'Resid Cust Fcst '!$BB$40)</f>
        <v>0</v>
      </c>
      <c r="O39" s="318">
        <f>IF(SUM(O7:O37)=0,0,SUM(O7:O37)/'Resid Cust Fcst '!$BB$40)</f>
        <v>0</v>
      </c>
      <c r="P39" s="318">
        <f>IF(SUM(P7:P37)=0,0,SUM(P7:P37)/'Resid Cust Fcst '!$BB$40)</f>
        <v>0</v>
      </c>
      <c r="Q39" s="319">
        <f>SUM(N39:P39)</f>
        <v>0</v>
      </c>
      <c r="R39" s="317">
        <f>IF(SUM(R7:R37)=0,0,SUM(R7:R37)/'Resid Cust Fcst '!$BC$40)</f>
        <v>829.28241253939291</v>
      </c>
      <c r="S39" s="318">
        <f>IF(SUM(S7:S37)=0,0,SUM(S7:S37)/'Resid Cust Fcst '!$BC$40)</f>
        <v>191.31633337497917</v>
      </c>
      <c r="T39" s="318">
        <f>IF(SUM(T7:T37)=0,0,SUM(T7:T37)/'Resid Cust Fcst '!$BC$40)</f>
        <v>246.49313991784732</v>
      </c>
      <c r="U39" s="319">
        <f>SUM(R39:T39)</f>
        <v>1267.0918858322193</v>
      </c>
      <c r="V39" s="317">
        <f>IF(SUM(V7:V37)=0,0,SUM(V7:V37)/'Resid Cust Fcst '!$BD$40)</f>
        <v>0</v>
      </c>
      <c r="W39" s="318">
        <f>IF(SUM(W7:W37)=0,0,SUM(W7:W37)/'Resid Cust Fcst '!$BD$40)</f>
        <v>0</v>
      </c>
      <c r="X39" s="318">
        <f>IF(SUM(X7:X37)=0,0,SUM(X7:X37)/'Resid Cust Fcst '!$BD$40)</f>
        <v>0</v>
      </c>
      <c r="Y39" s="319">
        <f>SUM(V39:X39)</f>
        <v>0</v>
      </c>
      <c r="Z39" s="317">
        <f>IF(SUM(Z7:Z37)=0,0,SUM(Z7:Z37)/'Resid Cust Fcst '!$BE$40)</f>
        <v>829.28241253939291</v>
      </c>
      <c r="AA39" s="318">
        <f>IF(SUM(AA7:AA37)=0,0,SUM(AA7:AA37)/'Resid Cust Fcst '!$BE$40)</f>
        <v>191.31633337497917</v>
      </c>
      <c r="AB39" s="318">
        <f>IF(SUM(AB7:AB37)=0,0,SUM(AB7:AB37)/'Resid Cust Fcst '!$BE$40)</f>
        <v>246.49313991784732</v>
      </c>
      <c r="AC39" s="319">
        <f>SUM(Z39:AB39)</f>
        <v>1267.0918858322193</v>
      </c>
    </row>
    <row r="40" spans="1:29">
      <c r="A40" s="55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</row>
    <row r="41" spans="1:29">
      <c r="A41" s="340" t="s">
        <v>102</v>
      </c>
      <c r="B41" s="18"/>
      <c r="C41" s="18"/>
      <c r="D41" s="18"/>
      <c r="E41" s="23">
        <f>IF(SUM(B7:D37)=0,0,SUM(B7:D37)/'Resid Cust Fcst '!AY40)-E39</f>
        <v>0</v>
      </c>
      <c r="F41" s="18"/>
      <c r="G41" s="18"/>
      <c r="H41" s="18"/>
      <c r="I41" s="23">
        <f>IF(SUM(F7:H37)=0,0,SUM(F7:H37)/'Resid Cust Fcst '!AZ40)-I39</f>
        <v>0</v>
      </c>
      <c r="J41" s="18"/>
      <c r="K41" s="18"/>
      <c r="L41" s="18"/>
      <c r="M41" s="23">
        <f>IF(SUM(J7:L37)=0,0,SUM(J7:L37)/'Resid Cust Fcst '!BA40)-M39</f>
        <v>0</v>
      </c>
      <c r="N41" s="18"/>
      <c r="O41" s="18"/>
      <c r="P41" s="18"/>
      <c r="Q41" s="23">
        <f>IF(SUM(N7:P37)=0,0,SUM(N7:P37)/'Resid Cust Fcst '!BB40)</f>
        <v>0</v>
      </c>
      <c r="R41" s="18"/>
      <c r="S41" s="18"/>
      <c r="T41" s="18"/>
      <c r="U41" s="23">
        <f>IF(SUM(R7:T37)=0,0,SUM(R7:T37)/'Resid Cust Fcst '!BC40)-U39</f>
        <v>0</v>
      </c>
      <c r="V41" s="18"/>
      <c r="W41" s="18"/>
      <c r="X41" s="18"/>
      <c r="Y41" s="23">
        <f>IF(SUM(V7:X37)=0,0,SUM(V7:X37)/'Resid Cust Fcst '!BD40)</f>
        <v>0</v>
      </c>
      <c r="Z41" s="18"/>
      <c r="AA41" s="18"/>
      <c r="AB41" s="18"/>
      <c r="AC41" s="23">
        <f>IF(SUM(Z7:AB37)=0,0,SUM(Z7:AB37)/'Resid Cust Fcst '!BE40)-AC39</f>
        <v>0</v>
      </c>
    </row>
    <row r="42" spans="1:29">
      <c r="N42" s="56"/>
      <c r="O42" s="56"/>
      <c r="P42" s="56"/>
    </row>
    <row r="43" spans="1:29">
      <c r="N43" s="56"/>
      <c r="O43" s="56"/>
      <c r="P43" s="56"/>
    </row>
    <row r="44" spans="1:29">
      <c r="A44" s="19"/>
      <c r="N44" s="18"/>
      <c r="O44" s="18"/>
      <c r="P44" s="18"/>
    </row>
    <row r="56" spans="1:1">
      <c r="A56" s="19"/>
    </row>
  </sheetData>
  <mergeCells count="9">
    <mergeCell ref="A1:Y1"/>
    <mergeCell ref="B2:U2"/>
    <mergeCell ref="V2:Y2"/>
    <mergeCell ref="Z2:AC2"/>
    <mergeCell ref="B3:E3"/>
    <mergeCell ref="F3:I3"/>
    <mergeCell ref="J3:M3"/>
    <mergeCell ref="N3:Q3"/>
    <mergeCell ref="R3:U3"/>
  </mergeCells>
  <printOptions horizontalCentered="1"/>
  <pageMargins left="0.75" right="0.75" top="1" bottom="1" header="0.5" footer="0.5"/>
  <pageSetup scale="40" orientation="portrait" r:id="rId1"/>
  <headerFooter alignWithMargins="0">
    <oddFooter>&amp;L&amp;F
&amp;A&amp;R&amp;P of &amp;N</oddFooter>
  </headerFooter>
  <colBreaks count="1" manualBreakCount="1">
    <brk id="17" max="38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5">
    <tabColor rgb="FFC00000"/>
  </sheetPr>
  <dimension ref="A1:AC56"/>
  <sheetViews>
    <sheetView zoomScaleNormal="100" workbookViewId="0">
      <selection activeCell="D17" sqref="D17"/>
    </sheetView>
  </sheetViews>
  <sheetFormatPr defaultRowHeight="12.75"/>
  <cols>
    <col min="1" max="1" width="39" customWidth="1"/>
    <col min="2" max="2" width="12.85546875" bestFit="1" customWidth="1"/>
    <col min="3" max="3" width="11.28515625" bestFit="1" customWidth="1"/>
    <col min="4" max="4" width="12.28515625" bestFit="1" customWidth="1"/>
    <col min="5" max="5" width="9.28515625" bestFit="1" customWidth="1"/>
    <col min="6" max="6" width="12.85546875" bestFit="1" customWidth="1"/>
    <col min="7" max="7" width="11.28515625" bestFit="1" customWidth="1"/>
    <col min="8" max="8" width="10.28515625" bestFit="1" customWidth="1"/>
    <col min="9" max="9" width="11.28515625" bestFit="1" customWidth="1"/>
    <col min="10" max="10" width="12.85546875" customWidth="1"/>
    <col min="11" max="11" width="12.28515625" customWidth="1"/>
    <col min="12" max="12" width="12.28515625" bestFit="1" customWidth="1"/>
    <col min="13" max="13" width="10.28515625" bestFit="1" customWidth="1"/>
    <col min="14" max="14" width="12.85546875" customWidth="1"/>
    <col min="15" max="15" width="10" customWidth="1"/>
    <col min="16" max="17" width="10.28515625" bestFit="1" customWidth="1"/>
    <col min="18" max="18" width="12.85546875" bestFit="1" customWidth="1"/>
    <col min="19" max="20" width="12.28515625" bestFit="1" customWidth="1"/>
    <col min="21" max="21" width="11.28515625" bestFit="1" customWidth="1"/>
    <col min="22" max="22" width="12.85546875" bestFit="1" customWidth="1"/>
    <col min="23" max="25" width="10.28515625" customWidth="1"/>
    <col min="26" max="29" width="13.85546875" customWidth="1"/>
  </cols>
  <sheetData>
    <row r="1" spans="1:29" ht="18.75" thickBot="1">
      <c r="A1" s="841" t="s">
        <v>154</v>
      </c>
      <c r="B1" s="841"/>
      <c r="C1" s="841"/>
      <c r="D1" s="841"/>
      <c r="E1" s="841"/>
      <c r="F1" s="841"/>
      <c r="G1" s="841"/>
      <c r="H1" s="841"/>
      <c r="I1" s="841"/>
      <c r="J1" s="841"/>
      <c r="K1" s="841"/>
      <c r="L1" s="841"/>
      <c r="M1" s="841"/>
      <c r="N1" s="841"/>
      <c r="O1" s="841"/>
      <c r="P1" s="841"/>
      <c r="Q1" s="841"/>
      <c r="R1" s="841"/>
      <c r="S1" s="841"/>
      <c r="T1" s="841"/>
      <c r="U1" s="841"/>
      <c r="V1" s="841"/>
      <c r="W1" s="841"/>
      <c r="X1" s="841"/>
      <c r="Y1" s="841"/>
    </row>
    <row r="2" spans="1:29" ht="13.5" thickBot="1">
      <c r="A2" s="131"/>
      <c r="B2" s="834" t="s">
        <v>132</v>
      </c>
      <c r="C2" s="835"/>
      <c r="D2" s="835"/>
      <c r="E2" s="835"/>
      <c r="F2" s="835"/>
      <c r="G2" s="835"/>
      <c r="H2" s="835"/>
      <c r="I2" s="835"/>
      <c r="J2" s="835"/>
      <c r="K2" s="835"/>
      <c r="L2" s="835"/>
      <c r="M2" s="835"/>
      <c r="N2" s="835"/>
      <c r="O2" s="835"/>
      <c r="P2" s="835"/>
      <c r="Q2" s="835"/>
      <c r="R2" s="835"/>
      <c r="S2" s="835"/>
      <c r="T2" s="835"/>
      <c r="U2" s="837"/>
      <c r="V2" s="834" t="s">
        <v>133</v>
      </c>
      <c r="W2" s="835"/>
      <c r="X2" s="835"/>
      <c r="Y2" s="837"/>
      <c r="Z2" s="834" t="s">
        <v>153</v>
      </c>
      <c r="AA2" s="835"/>
      <c r="AB2" s="835"/>
      <c r="AC2" s="837"/>
    </row>
    <row r="3" spans="1:29">
      <c r="A3" s="196"/>
      <c r="B3" s="842" t="s">
        <v>127</v>
      </c>
      <c r="C3" s="843"/>
      <c r="D3" s="843"/>
      <c r="E3" s="844"/>
      <c r="F3" s="842" t="s">
        <v>114</v>
      </c>
      <c r="G3" s="843"/>
      <c r="H3" s="843"/>
      <c r="I3" s="844"/>
      <c r="J3" s="842" t="s">
        <v>115</v>
      </c>
      <c r="K3" s="843"/>
      <c r="L3" s="843"/>
      <c r="M3" s="844"/>
      <c r="N3" s="842" t="s">
        <v>113</v>
      </c>
      <c r="O3" s="843"/>
      <c r="P3" s="843"/>
      <c r="Q3" s="844"/>
      <c r="R3" s="836" t="s">
        <v>138</v>
      </c>
      <c r="S3" s="843"/>
      <c r="T3" s="843"/>
      <c r="U3" s="844"/>
      <c r="V3" s="345"/>
      <c r="W3" s="346"/>
      <c r="X3" s="346"/>
      <c r="Y3" s="347"/>
      <c r="Z3" s="345"/>
      <c r="AA3" s="346"/>
      <c r="AB3" s="346"/>
      <c r="AC3" s="347"/>
    </row>
    <row r="4" spans="1:29" ht="13.5" thickBot="1">
      <c r="A4" s="102" t="s">
        <v>4</v>
      </c>
      <c r="B4" s="348" t="s">
        <v>36</v>
      </c>
      <c r="C4" s="349" t="s">
        <v>37</v>
      </c>
      <c r="D4" s="349" t="s">
        <v>38</v>
      </c>
      <c r="E4" s="350" t="s">
        <v>41</v>
      </c>
      <c r="F4" s="348" t="s">
        <v>36</v>
      </c>
      <c r="G4" s="349" t="s">
        <v>37</v>
      </c>
      <c r="H4" s="349" t="s">
        <v>38</v>
      </c>
      <c r="I4" s="350" t="s">
        <v>41</v>
      </c>
      <c r="J4" s="348" t="s">
        <v>36</v>
      </c>
      <c r="K4" s="349" t="s">
        <v>37</v>
      </c>
      <c r="L4" s="349" t="s">
        <v>40</v>
      </c>
      <c r="M4" s="350" t="s">
        <v>41</v>
      </c>
      <c r="N4" s="348" t="s">
        <v>36</v>
      </c>
      <c r="O4" s="349" t="s">
        <v>37</v>
      </c>
      <c r="P4" s="349" t="s">
        <v>40</v>
      </c>
      <c r="Q4" s="350" t="s">
        <v>41</v>
      </c>
      <c r="R4" s="348" t="s">
        <v>36</v>
      </c>
      <c r="S4" s="349" t="s">
        <v>37</v>
      </c>
      <c r="T4" s="349" t="s">
        <v>38</v>
      </c>
      <c r="U4" s="350" t="s">
        <v>41</v>
      </c>
      <c r="V4" s="348" t="s">
        <v>36</v>
      </c>
      <c r="W4" s="349" t="s">
        <v>37</v>
      </c>
      <c r="X4" s="349" t="s">
        <v>40</v>
      </c>
      <c r="Y4" s="350" t="s">
        <v>41</v>
      </c>
      <c r="Z4" s="348" t="s">
        <v>36</v>
      </c>
      <c r="AA4" s="349" t="s">
        <v>37</v>
      </c>
      <c r="AB4" s="349" t="s">
        <v>40</v>
      </c>
      <c r="AC4" s="350" t="s">
        <v>41</v>
      </c>
    </row>
    <row r="5" spans="1:29">
      <c r="A5" s="133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5" t="s">
        <v>42</v>
      </c>
      <c r="K5" s="6" t="s">
        <v>42</v>
      </c>
      <c r="L5" s="6" t="s">
        <v>42</v>
      </c>
      <c r="M5" s="7" t="s">
        <v>43</v>
      </c>
      <c r="N5" s="5" t="s">
        <v>42</v>
      </c>
      <c r="O5" s="6" t="s">
        <v>42</v>
      </c>
      <c r="P5" s="6" t="s">
        <v>42</v>
      </c>
      <c r="Q5" s="7" t="s">
        <v>43</v>
      </c>
      <c r="R5" s="5" t="s">
        <v>42</v>
      </c>
      <c r="S5" s="6" t="s">
        <v>42</v>
      </c>
      <c r="T5" s="6" t="s">
        <v>42</v>
      </c>
      <c r="U5" s="7" t="s">
        <v>43</v>
      </c>
      <c r="V5" s="132" t="s">
        <v>42</v>
      </c>
      <c r="W5" s="8" t="s">
        <v>42</v>
      </c>
      <c r="X5" s="8" t="s">
        <v>42</v>
      </c>
      <c r="Y5" s="9" t="s">
        <v>43</v>
      </c>
      <c r="Z5" s="132" t="s">
        <v>42</v>
      </c>
      <c r="AA5" s="8" t="s">
        <v>42</v>
      </c>
      <c r="AB5" s="8" t="s">
        <v>42</v>
      </c>
      <c r="AC5" s="9" t="s">
        <v>43</v>
      </c>
    </row>
    <row r="6" spans="1:29">
      <c r="A6" s="112"/>
      <c r="B6" s="132"/>
      <c r="C6" s="8"/>
      <c r="D6" s="8"/>
      <c r="E6" s="9"/>
      <c r="F6" s="132"/>
      <c r="G6" s="8"/>
      <c r="H6" s="8"/>
      <c r="I6" s="9"/>
      <c r="J6" s="132"/>
      <c r="K6" s="8"/>
      <c r="L6" s="8"/>
      <c r="M6" s="9"/>
      <c r="N6" s="132"/>
      <c r="O6" s="8"/>
      <c r="P6" s="8"/>
      <c r="Q6" s="9"/>
      <c r="R6" s="132"/>
      <c r="S6" s="8"/>
      <c r="T6" s="8"/>
      <c r="U6" s="9"/>
      <c r="V6" s="132"/>
      <c r="W6" s="8"/>
      <c r="X6" s="8"/>
      <c r="Y6" s="9"/>
      <c r="Z6" s="132"/>
      <c r="AA6" s="8"/>
      <c r="AB6" s="8"/>
      <c r="AC6" s="9"/>
    </row>
    <row r="7" spans="1:29">
      <c r="A7" s="153" t="s">
        <v>5</v>
      </c>
      <c r="B7" s="137">
        <f>'Resid Cust Fcst '!$BF8*'Resid TSM UC Adj'!B7</f>
        <v>10797.206121111285</v>
      </c>
      <c r="C7" s="23">
        <f>'Resid Cust Fcst '!$BF8*'Resid TSM UC Adj'!C7</f>
        <v>6103.3729242919362</v>
      </c>
      <c r="D7" s="23">
        <f>'Resid Cust Fcst '!$BF8*'Resid TSM UC Adj'!D7</f>
        <v>10834.706733031673</v>
      </c>
      <c r="E7" s="45">
        <f>IF(SUM(B7:D7)=0,0,SUM(B7:D7)/'Resid Cust Fcst '!BF8)</f>
        <v>630.34740405533853</v>
      </c>
      <c r="F7" s="137">
        <f>'Resid Cust Fcst '!$BG8*'Resid TSM UC Adj'!F7</f>
        <v>0</v>
      </c>
      <c r="G7" s="23">
        <f>'Resid Cust Fcst '!$BG8*'Resid TSM UC Adj'!G7</f>
        <v>0</v>
      </c>
      <c r="H7" s="23">
        <f>'Resid Cust Fcst '!$BG8*'Resid TSM UC Adj'!H7</f>
        <v>0</v>
      </c>
      <c r="I7" s="45">
        <f>IF(SUM(F7:H7)=0,0,SUM(F7:H7)/'Resid Cust Fcst '!BG8)</f>
        <v>0</v>
      </c>
      <c r="J7" s="137">
        <f>'Resid Cust Fcst '!$BH8*'Resid TSM UC Adj'!J7</f>
        <v>0</v>
      </c>
      <c r="K7" s="23">
        <f>'Resid Cust Fcst '!$BH8*'Resid TSM UC Adj'!K7</f>
        <v>0</v>
      </c>
      <c r="L7" s="23">
        <f>'Resid Cust Fcst '!$BH8*'Resid TSM UC Adj'!L7</f>
        <v>0</v>
      </c>
      <c r="M7" s="45">
        <f>IF(SUM(J7:L7)=0,0,SUM(J7:L7)/'Resid Cust Fcst '!BH8)</f>
        <v>0</v>
      </c>
      <c r="N7" s="137">
        <f>'Resid Cust Fcst '!$BI8*'Resid TSM UC Adj'!N7</f>
        <v>0</v>
      </c>
      <c r="O7" s="23">
        <f>'Resid Cust Fcst '!$BI8*'Resid TSM UC Adj'!O7</f>
        <v>0</v>
      </c>
      <c r="P7" s="23">
        <f>'Resid Cust Fcst '!$BI8*'Resid TSM UC Adj'!P7</f>
        <v>0</v>
      </c>
      <c r="Q7" s="45">
        <f>IF(SUM(N7:P7)=0,0,SUM(N7:P7)/'Resid Cust Fcst '!BI8)</f>
        <v>0</v>
      </c>
      <c r="R7" s="137">
        <f>B7+F7+J7+N7</f>
        <v>10797.206121111285</v>
      </c>
      <c r="S7" s="23">
        <f t="shared" ref="S7:T22" si="0">C7+G7+K7+O7</f>
        <v>6103.3729242919362</v>
      </c>
      <c r="T7" s="23">
        <f t="shared" si="0"/>
        <v>10834.706733031673</v>
      </c>
      <c r="U7" s="45">
        <f>IF(SUM(R7:T7)=0,0,SUM(R7:T7)/'Resid Cust Fcst '!BJ8)</f>
        <v>630.34740405533853</v>
      </c>
      <c r="V7" s="137">
        <f>'Resid Cust Fcst '!$BK8*'Resid TSM UC Adj'!R7</f>
        <v>0</v>
      </c>
      <c r="W7" s="23">
        <f>'Resid Cust Fcst '!$BK8*'Resid TSM UC Adj'!S7</f>
        <v>0</v>
      </c>
      <c r="X7" s="23">
        <f>'Resid Cust Fcst '!$BK8*'Resid TSM UC Adj'!T7</f>
        <v>0</v>
      </c>
      <c r="Y7" s="45">
        <f>IF(SUM(V7:X7)=0,0,SUM(V7:X7)/'Resid Cust Fcst '!BK8)</f>
        <v>0</v>
      </c>
      <c r="Z7" s="137">
        <f>R7+V7</f>
        <v>10797.206121111285</v>
      </c>
      <c r="AA7" s="23">
        <f t="shared" ref="AA7:AB22" si="1">S7+W7</f>
        <v>6103.3729242919362</v>
      </c>
      <c r="AB7" s="23">
        <f t="shared" si="1"/>
        <v>10834.706733031673</v>
      </c>
      <c r="AC7" s="45">
        <f>IF(SUM(Z7:AB7)=0,0,SUM(Z7:AB7)/'Resid Cust Fcst '!BL8)</f>
        <v>630.34740405533853</v>
      </c>
    </row>
    <row r="8" spans="1:29">
      <c r="A8" s="155" t="s">
        <v>6</v>
      </c>
      <c r="B8" s="137">
        <f>'Resid Cust Fcst '!$BF9*'Resid TSM UC Adj'!B8</f>
        <v>171212.83992047896</v>
      </c>
      <c r="C8" s="23">
        <f>'Resid Cust Fcst '!$BF9*'Resid TSM UC Adj'!C8</f>
        <v>30794.290663472948</v>
      </c>
      <c r="D8" s="23">
        <f>'Resid Cust Fcst '!$BF9*'Resid TSM UC Adj'!D8</f>
        <v>54666.020334841625</v>
      </c>
      <c r="E8" s="45">
        <f>IF(SUM(B8:D8)=0,0,SUM(B8:D8)/'Resid Cust Fcst '!BF9)</f>
        <v>1156.1853644990699</v>
      </c>
      <c r="F8" s="137">
        <f>'Resid Cust Fcst '!$BG9*'Resid TSM UC Adj'!F8</f>
        <v>0</v>
      </c>
      <c r="G8" s="23">
        <f>'Resid Cust Fcst '!$BG9*'Resid TSM UC Adj'!G8</f>
        <v>0</v>
      </c>
      <c r="H8" s="23">
        <f>'Resid Cust Fcst '!$BG9*'Resid TSM UC Adj'!H8</f>
        <v>0</v>
      </c>
      <c r="I8" s="45">
        <f>IF(SUM(F8:H8)=0,0,SUM(F8:H8)/'Resid Cust Fcst '!BG9)</f>
        <v>0</v>
      </c>
      <c r="J8" s="137">
        <f>'Resid Cust Fcst '!$BH9*'Resid TSM UC Adj'!J8</f>
        <v>917.870117202095</v>
      </c>
      <c r="K8" s="23">
        <f>'Resid Cust Fcst '!$BH9*'Resid TSM UC Adj'!K8</f>
        <v>754.14273000301057</v>
      </c>
      <c r="L8" s="23">
        <f>'Resid Cust Fcst '!$BH9*'Resid TSM UC Adj'!L8</f>
        <v>373.18</v>
      </c>
      <c r="M8" s="45">
        <f>IF(SUM(J8:L8)=0,0,SUM(J8:L8)/'Resid Cust Fcst '!BH9)</f>
        <v>2045.1928472051056</v>
      </c>
      <c r="N8" s="137">
        <f>'Resid Cust Fcst '!$BI9*'Resid TSM UC Adj'!N8</f>
        <v>0</v>
      </c>
      <c r="O8" s="23">
        <f>'Resid Cust Fcst '!$BI9*'Resid TSM UC Adj'!O8</f>
        <v>0</v>
      </c>
      <c r="P8" s="23">
        <f>'Resid Cust Fcst '!$BI9*'Resid TSM UC Adj'!P8</f>
        <v>0</v>
      </c>
      <c r="Q8" s="45">
        <f>IF(SUM(N8:P8)=0,0,SUM(N8:P8)/'Resid Cust Fcst '!BI9)</f>
        <v>0</v>
      </c>
      <c r="R8" s="137">
        <f t="shared" ref="R8:T37" si="2">B8+F8+J8+N8</f>
        <v>172130.71003768104</v>
      </c>
      <c r="S8" s="23">
        <f t="shared" si="0"/>
        <v>31548.43339347596</v>
      </c>
      <c r="T8" s="23">
        <f t="shared" si="0"/>
        <v>55039.200334841626</v>
      </c>
      <c r="U8" s="45">
        <f>IF(SUM(R8:T8)=0,0,SUM(R8:T8)/'Resid Cust Fcst '!BJ9)</f>
        <v>1160.1719451390072</v>
      </c>
      <c r="V8" s="137">
        <f>'Resid Cust Fcst '!$BK9*'Resid TSM UC Adj'!R8</f>
        <v>0</v>
      </c>
      <c r="W8" s="23">
        <f>'Resid Cust Fcst '!$BK9*'Resid TSM UC Adj'!S8</f>
        <v>0</v>
      </c>
      <c r="X8" s="23">
        <f>'Resid Cust Fcst '!$BK9*'Resid TSM UC Adj'!T8</f>
        <v>0</v>
      </c>
      <c r="Y8" s="45">
        <f>IF(SUM(V8:X8)=0,0,SUM(V8:X8)/'Resid Cust Fcst '!BK9)</f>
        <v>0</v>
      </c>
      <c r="Z8" s="137">
        <f t="shared" ref="Z8:AB37" si="3">R8+V8</f>
        <v>172130.71003768104</v>
      </c>
      <c r="AA8" s="23">
        <f t="shared" si="1"/>
        <v>31548.43339347596</v>
      </c>
      <c r="AB8" s="23">
        <f t="shared" si="1"/>
        <v>55039.200334841626</v>
      </c>
      <c r="AC8" s="45">
        <f>IF(SUM(Z8:AB8)=0,0,SUM(Z8:AB8)/'Resid Cust Fcst '!BL9)</f>
        <v>1160.1719451390072</v>
      </c>
    </row>
    <row r="9" spans="1:29">
      <c r="A9" s="155" t="s">
        <v>7</v>
      </c>
      <c r="B9" s="137">
        <f>'Resid Cust Fcst '!$BF10*'Resid TSM UC Adj'!B9</f>
        <v>17545.459946805837</v>
      </c>
      <c r="C9" s="23">
        <f>'Resid Cust Fcst '!$BF10*'Resid TSM UC Adj'!C9</f>
        <v>5083.579592345015</v>
      </c>
      <c r="D9" s="23">
        <f>'Resid Cust Fcst '!$BF10*'Resid TSM UC Adj'!D9</f>
        <v>6402.3267058823531</v>
      </c>
      <c r="E9" s="45">
        <f>IF(SUM(B9:D9)=0,0,SUM(B9:D9)/'Resid Cust Fcst '!BF10)</f>
        <v>1116.5910094243541</v>
      </c>
      <c r="F9" s="137">
        <f>'Resid Cust Fcst '!$BG10*'Resid TSM UC Adj'!F9</f>
        <v>0</v>
      </c>
      <c r="G9" s="23">
        <f>'Resid Cust Fcst '!$BG10*'Resid TSM UC Adj'!G9</f>
        <v>0</v>
      </c>
      <c r="H9" s="23">
        <f>'Resid Cust Fcst '!$BG10*'Resid TSM UC Adj'!H9</f>
        <v>0</v>
      </c>
      <c r="I9" s="45">
        <f>IF(SUM(F9:H9)=0,0,SUM(F9:H9)/'Resid Cust Fcst '!BG10)</f>
        <v>0</v>
      </c>
      <c r="J9" s="137">
        <f>'Resid Cust Fcst '!$BH10*'Resid TSM UC Adj'!J9</f>
        <v>3671.48046880838</v>
      </c>
      <c r="K9" s="23">
        <f>'Resid Cust Fcst '!$BH10*'Resid TSM UC Adj'!K9</f>
        <v>1776.5712506572356</v>
      </c>
      <c r="L9" s="23">
        <f>'Resid Cust Fcst '!$BH10*'Resid TSM UC Adj'!L9</f>
        <v>746.36</v>
      </c>
      <c r="M9" s="45">
        <f>IF(SUM(J9:L9)=0,0,SUM(J9:L9)/'Resid Cust Fcst '!BH10)</f>
        <v>3097.2058597328078</v>
      </c>
      <c r="N9" s="137">
        <f>'Resid Cust Fcst '!$BI10*'Resid TSM UC Adj'!N9</f>
        <v>0</v>
      </c>
      <c r="O9" s="23">
        <f>'Resid Cust Fcst '!$BI10*'Resid TSM UC Adj'!O9</f>
        <v>0</v>
      </c>
      <c r="P9" s="23">
        <f>'Resid Cust Fcst '!$BI10*'Resid TSM UC Adj'!P9</f>
        <v>0</v>
      </c>
      <c r="Q9" s="45">
        <f>IF(SUM(N9:P9)=0,0,SUM(N9:P9)/'Resid Cust Fcst '!BI10)</f>
        <v>0</v>
      </c>
      <c r="R9" s="137">
        <f t="shared" si="2"/>
        <v>21216.940415614215</v>
      </c>
      <c r="S9" s="23">
        <f t="shared" si="0"/>
        <v>6860.1508430022504</v>
      </c>
      <c r="T9" s="23">
        <f t="shared" si="0"/>
        <v>7148.6867058823527</v>
      </c>
      <c r="U9" s="45">
        <f>IF(SUM(R9:T9)=0,0,SUM(R9:T9)/'Resid Cust Fcst '!BJ10)</f>
        <v>1258.0634987321007</v>
      </c>
      <c r="V9" s="137">
        <f>'Resid Cust Fcst '!$BK10*'Resid TSM UC Adj'!R9</f>
        <v>0</v>
      </c>
      <c r="W9" s="23">
        <f>'Resid Cust Fcst '!$BK10*'Resid TSM UC Adj'!S9</f>
        <v>0</v>
      </c>
      <c r="X9" s="23">
        <f>'Resid Cust Fcst '!$BK10*'Resid TSM UC Adj'!T9</f>
        <v>0</v>
      </c>
      <c r="Y9" s="45">
        <f>IF(SUM(V9:X9)=0,0,SUM(V9:X9)/'Resid Cust Fcst '!BK10)</f>
        <v>0</v>
      </c>
      <c r="Z9" s="137">
        <f t="shared" si="3"/>
        <v>21216.940415614215</v>
      </c>
      <c r="AA9" s="23">
        <f t="shared" si="1"/>
        <v>6860.1508430022504</v>
      </c>
      <c r="AB9" s="23">
        <f t="shared" si="1"/>
        <v>7148.6867058823527</v>
      </c>
      <c r="AC9" s="45">
        <f>IF(SUM(Z9:AB9)=0,0,SUM(Z9:AB9)/'Resid Cust Fcst '!BL10)</f>
        <v>1258.0634987321007</v>
      </c>
    </row>
    <row r="10" spans="1:29" s="58" customFormat="1">
      <c r="A10" s="288" t="s">
        <v>124</v>
      </c>
      <c r="B10" s="137">
        <f>'Resid Cust Fcst '!$BF11*'Resid TSM UC Adj'!B10</f>
        <v>9447.5553559723739</v>
      </c>
      <c r="C10" s="23">
        <f>'Resid Cust Fcst '!$BF11*'Resid TSM UC Adj'!C10</f>
        <v>1496.1225872533832</v>
      </c>
      <c r="D10" s="23">
        <f>'Resid Cust Fcst '!$BF11*'Resid TSM UC Adj'!D10</f>
        <v>1723.7033438914027</v>
      </c>
      <c r="E10" s="45">
        <f>IF(SUM(B10:D10)=0,0,SUM(B10:D10)/'Resid Cust Fcst '!BF11)</f>
        <v>1809.6258981595943</v>
      </c>
      <c r="F10" s="137">
        <f>'Resid Cust Fcst '!$BG11*'Resid TSM UC Adj'!F10</f>
        <v>0</v>
      </c>
      <c r="G10" s="23">
        <f>'Resid Cust Fcst '!$BG11*'Resid TSM UC Adj'!G10</f>
        <v>0</v>
      </c>
      <c r="H10" s="23">
        <f>'Resid Cust Fcst '!$BG11*'Resid TSM UC Adj'!H10</f>
        <v>0</v>
      </c>
      <c r="I10" s="45">
        <f>IF(SUM(F10:H10)=0,0,SUM(F10:H10)/'Resid Cust Fcst '!BG11)</f>
        <v>0</v>
      </c>
      <c r="J10" s="137">
        <f>'Resid Cust Fcst '!$BH11*'Resid TSM UC Adj'!J10</f>
        <v>3959.0687493427631</v>
      </c>
      <c r="K10" s="23">
        <f>'Resid Cust Fcst '!$BH11*'Resid TSM UC Adj'!K10</f>
        <v>1776.5712506572356</v>
      </c>
      <c r="L10" s="23">
        <f>'Resid Cust Fcst '!$BH11*'Resid TSM UC Adj'!L10</f>
        <v>746.36</v>
      </c>
      <c r="M10" s="45">
        <f>IF(SUM(J10:L10)=0,0,SUM(J10:L10)/'Resid Cust Fcst '!BH11)</f>
        <v>3240.9999999999991</v>
      </c>
      <c r="N10" s="137">
        <f>'Resid Cust Fcst '!$BI11*'Resid TSM UC Adj'!N10</f>
        <v>0</v>
      </c>
      <c r="O10" s="23">
        <f>'Resid Cust Fcst '!$BI11*'Resid TSM UC Adj'!O10</f>
        <v>0</v>
      </c>
      <c r="P10" s="23">
        <f>'Resid Cust Fcst '!$BI11*'Resid TSM UC Adj'!P10</f>
        <v>0</v>
      </c>
      <c r="Q10" s="45">
        <f>IF(SUM(N10:P10)=0,0,SUM(N10:P10)/'Resid Cust Fcst '!BI11)</f>
        <v>0</v>
      </c>
      <c r="R10" s="137">
        <f t="shared" si="2"/>
        <v>13406.624105315137</v>
      </c>
      <c r="S10" s="23">
        <f t="shared" si="0"/>
        <v>3272.6938379106186</v>
      </c>
      <c r="T10" s="23">
        <f t="shared" si="0"/>
        <v>2470.0633438914028</v>
      </c>
      <c r="U10" s="45">
        <f>IF(SUM(R10:T10)=0,0,SUM(R10:T10)/'Resid Cust Fcst '!BJ11)</f>
        <v>2127.7090319019067</v>
      </c>
      <c r="V10" s="137">
        <f>'Resid Cust Fcst '!$BK11*'Resid TSM UC Adj'!R10</f>
        <v>0</v>
      </c>
      <c r="W10" s="23">
        <f>'Resid Cust Fcst '!$BK11*'Resid TSM UC Adj'!S10</f>
        <v>0</v>
      </c>
      <c r="X10" s="23">
        <f>'Resid Cust Fcst '!$BK11*'Resid TSM UC Adj'!T10</f>
        <v>0</v>
      </c>
      <c r="Y10" s="45">
        <f>IF(SUM(V10:X10)=0,0,SUM(V10:X10)/'Resid Cust Fcst '!BK11)</f>
        <v>0</v>
      </c>
      <c r="Z10" s="137">
        <f t="shared" si="3"/>
        <v>13406.624105315137</v>
      </c>
      <c r="AA10" s="23">
        <f t="shared" si="1"/>
        <v>3272.6938379106186</v>
      </c>
      <c r="AB10" s="23">
        <f t="shared" si="1"/>
        <v>2470.0633438914028</v>
      </c>
      <c r="AC10" s="45">
        <f>IF(SUM(Z10:AB10)=0,0,SUM(Z10:AB10)/'Resid Cust Fcst '!BL11)</f>
        <v>2127.7090319019067</v>
      </c>
    </row>
    <row r="11" spans="1:29">
      <c r="A11" s="153" t="s">
        <v>116</v>
      </c>
      <c r="B11" s="137">
        <f>'Resid Cust Fcst '!$BF12*'Resid TSM UC Adj'!B11</f>
        <v>1349.6507651389106</v>
      </c>
      <c r="C11" s="23">
        <f>'Resid Cust Fcst '!$BF12*'Resid TSM UC Adj'!C11</f>
        <v>213.73179817905475</v>
      </c>
      <c r="D11" s="23">
        <f>'Resid Cust Fcst '!$BF12*'Resid TSM UC Adj'!D11</f>
        <v>246.24333484162895</v>
      </c>
      <c r="E11" s="45">
        <f>IF(SUM(B11:D11)=0,0,SUM(B11:D11)/'Resid Cust Fcst '!BF12)</f>
        <v>1809.6258981595943</v>
      </c>
      <c r="F11" s="137">
        <f>'Resid Cust Fcst '!$BG12*'Resid TSM UC Adj'!F11</f>
        <v>0</v>
      </c>
      <c r="G11" s="23">
        <f>'Resid Cust Fcst '!$BG12*'Resid TSM UC Adj'!G11</f>
        <v>0</v>
      </c>
      <c r="H11" s="23">
        <f>'Resid Cust Fcst '!$BG12*'Resid TSM UC Adj'!H11</f>
        <v>0</v>
      </c>
      <c r="I11" s="45">
        <f>IF(SUM(F11:H11)=0,0,SUM(F11:H11)/'Resid Cust Fcst '!BG12)</f>
        <v>0</v>
      </c>
      <c r="J11" s="137">
        <f>'Resid Cust Fcst '!$BH12*'Resid TSM UC Adj'!J11</f>
        <v>0</v>
      </c>
      <c r="K11" s="23">
        <f>'Resid Cust Fcst '!$BH12*'Resid TSM UC Adj'!K11</f>
        <v>0</v>
      </c>
      <c r="L11" s="23">
        <f>'Resid Cust Fcst '!$BH12*'Resid TSM UC Adj'!L11</f>
        <v>0</v>
      </c>
      <c r="M11" s="45">
        <f>IF(SUM(J11:L11)=0,0,SUM(J11:L11)/'Resid Cust Fcst '!BH12)</f>
        <v>0</v>
      </c>
      <c r="N11" s="137">
        <f>'Resid Cust Fcst '!$BI12*'Resid TSM UC Adj'!N11</f>
        <v>0</v>
      </c>
      <c r="O11" s="23">
        <f>'Resid Cust Fcst '!$BI12*'Resid TSM UC Adj'!O11</f>
        <v>0</v>
      </c>
      <c r="P11" s="23">
        <f>'Resid Cust Fcst '!$BI12*'Resid TSM UC Adj'!P11</f>
        <v>0</v>
      </c>
      <c r="Q11" s="45">
        <f>IF(SUM(N11:P11)=0,0,SUM(N11:P11)/'Resid Cust Fcst '!BI12)</f>
        <v>0</v>
      </c>
      <c r="R11" s="137">
        <f t="shared" si="2"/>
        <v>1349.6507651389106</v>
      </c>
      <c r="S11" s="23">
        <f t="shared" si="0"/>
        <v>213.73179817905475</v>
      </c>
      <c r="T11" s="23">
        <f t="shared" si="0"/>
        <v>246.24333484162895</v>
      </c>
      <c r="U11" s="45">
        <f>IF(SUM(R11:T11)=0,0,SUM(R11:T11)/'Resid Cust Fcst '!BJ12)</f>
        <v>1809.6258981595943</v>
      </c>
      <c r="V11" s="137">
        <f>'Resid Cust Fcst '!$BK12*'Resid TSM UC Adj'!R11</f>
        <v>0</v>
      </c>
      <c r="W11" s="23">
        <f>'Resid Cust Fcst '!$BK12*'Resid TSM UC Adj'!S11</f>
        <v>0</v>
      </c>
      <c r="X11" s="23">
        <f>'Resid Cust Fcst '!$BK12*'Resid TSM UC Adj'!T11</f>
        <v>0</v>
      </c>
      <c r="Y11" s="45">
        <f>IF(SUM(V11:X11)=0,0,SUM(V11:X11)/'Resid Cust Fcst '!BK12)</f>
        <v>0</v>
      </c>
      <c r="Z11" s="137">
        <f t="shared" si="3"/>
        <v>1349.6507651389106</v>
      </c>
      <c r="AA11" s="23">
        <f t="shared" si="1"/>
        <v>213.73179817905475</v>
      </c>
      <c r="AB11" s="23">
        <f t="shared" si="1"/>
        <v>246.24333484162895</v>
      </c>
      <c r="AC11" s="45">
        <f>IF(SUM(Z11:AB11)=0,0,SUM(Z11:AB11)/'Resid Cust Fcst '!BL12)</f>
        <v>1809.6258981595943</v>
      </c>
    </row>
    <row r="12" spans="1:29">
      <c r="A12" s="153" t="s">
        <v>8</v>
      </c>
      <c r="B12" s="137">
        <f>'Resid Cust Fcst '!$BF13*'Resid TSM UC Adj'!B12</f>
        <v>1450.0172593464001</v>
      </c>
      <c r="C12" s="23">
        <f>'Resid Cust Fcst '!$BF13*'Resid TSM UC Adj'!C12</f>
        <v>515.2781532122292</v>
      </c>
      <c r="D12" s="23">
        <f>'Resid Cust Fcst '!$BF13*'Resid TSM UC Adj'!D12</f>
        <v>246.24333484162895</v>
      </c>
      <c r="E12" s="45">
        <f>IF(SUM(B12:D12)=0,0,SUM(B12:D12)/'Resid Cust Fcst '!BF13)</f>
        <v>2211.5387474002582</v>
      </c>
      <c r="F12" s="137">
        <f>'Resid Cust Fcst '!$BG13*'Resid TSM UC Adj'!F12</f>
        <v>0</v>
      </c>
      <c r="G12" s="23">
        <f>'Resid Cust Fcst '!$BG13*'Resid TSM UC Adj'!G12</f>
        <v>0</v>
      </c>
      <c r="H12" s="23">
        <f>'Resid Cust Fcst '!$BG13*'Resid TSM UC Adj'!H12</f>
        <v>0</v>
      </c>
      <c r="I12" s="45">
        <f>IF(SUM(F12:H12)=0,0,SUM(F12:H12)/'Resid Cust Fcst '!BG13)</f>
        <v>0</v>
      </c>
      <c r="J12" s="137">
        <f>'Resid Cust Fcst '!$BH13*'Resid TSM UC Adj'!J12</f>
        <v>0</v>
      </c>
      <c r="K12" s="23">
        <f>'Resid Cust Fcst '!$BH13*'Resid TSM UC Adj'!K12</f>
        <v>0</v>
      </c>
      <c r="L12" s="23">
        <f>'Resid Cust Fcst '!$BH13*'Resid TSM UC Adj'!L12</f>
        <v>0</v>
      </c>
      <c r="M12" s="45">
        <f>IF(SUM(J12:L12)=0,0,SUM(J12:L12)/'Resid Cust Fcst '!BH13)</f>
        <v>0</v>
      </c>
      <c r="N12" s="137">
        <f>'Resid Cust Fcst '!$BI13*'Resid TSM UC Adj'!N12</f>
        <v>0</v>
      </c>
      <c r="O12" s="23">
        <f>'Resid Cust Fcst '!$BI13*'Resid TSM UC Adj'!O12</f>
        <v>0</v>
      </c>
      <c r="P12" s="23">
        <f>'Resid Cust Fcst '!$BI13*'Resid TSM UC Adj'!P12</f>
        <v>0</v>
      </c>
      <c r="Q12" s="45">
        <f>IF(SUM(N12:P12)=0,0,SUM(N12:P12)/'Resid Cust Fcst '!BI13)</f>
        <v>0</v>
      </c>
      <c r="R12" s="137">
        <f t="shared" si="2"/>
        <v>1450.0172593464001</v>
      </c>
      <c r="S12" s="23">
        <f t="shared" si="0"/>
        <v>515.2781532122292</v>
      </c>
      <c r="T12" s="23">
        <f t="shared" si="0"/>
        <v>246.24333484162895</v>
      </c>
      <c r="U12" s="45">
        <f>IF(SUM(R12:T12)=0,0,SUM(R12:T12)/'Resid Cust Fcst '!BJ13)</f>
        <v>2211.5387474002582</v>
      </c>
      <c r="V12" s="137">
        <f>'Resid Cust Fcst '!$BK13*'Resid TSM UC Adj'!R12</f>
        <v>0</v>
      </c>
      <c r="W12" s="23">
        <f>'Resid Cust Fcst '!$BK13*'Resid TSM UC Adj'!S12</f>
        <v>0</v>
      </c>
      <c r="X12" s="23">
        <f>'Resid Cust Fcst '!$BK13*'Resid TSM UC Adj'!T12</f>
        <v>0</v>
      </c>
      <c r="Y12" s="45">
        <f>IF(SUM(V12:X12)=0,0,SUM(V12:X12)/'Resid Cust Fcst '!BK13)</f>
        <v>0</v>
      </c>
      <c r="Z12" s="137">
        <f t="shared" si="3"/>
        <v>1450.0172593464001</v>
      </c>
      <c r="AA12" s="23">
        <f t="shared" si="1"/>
        <v>515.2781532122292</v>
      </c>
      <c r="AB12" s="23">
        <f t="shared" si="1"/>
        <v>246.24333484162895</v>
      </c>
      <c r="AC12" s="45">
        <f>IF(SUM(Z12:AB12)=0,0,SUM(Z12:AB12)/'Resid Cust Fcst '!BL13)</f>
        <v>2211.5387474002582</v>
      </c>
    </row>
    <row r="13" spans="1:29">
      <c r="A13" s="153" t="s">
        <v>9</v>
      </c>
      <c r="B13" s="137">
        <f>'Resid Cust Fcst '!$BF14*'Resid TSM UC Adj'!B13</f>
        <v>0</v>
      </c>
      <c r="C13" s="23">
        <f>'Resid Cust Fcst '!$BF14*'Resid TSM UC Adj'!C13</f>
        <v>0</v>
      </c>
      <c r="D13" s="23">
        <f>'Resid Cust Fcst '!$BF14*'Resid TSM UC Adj'!D13</f>
        <v>0</v>
      </c>
      <c r="E13" s="45">
        <f>IF(SUM(B13:D13)=0,0,SUM(B13:D13)/'Resid Cust Fcst '!BF14)</f>
        <v>0</v>
      </c>
      <c r="F13" s="137">
        <f>'Resid Cust Fcst '!$BG14*'Resid TSM UC Adj'!F13</f>
        <v>0</v>
      </c>
      <c r="G13" s="23">
        <f>'Resid Cust Fcst '!$BG14*'Resid TSM UC Adj'!G13</f>
        <v>0</v>
      </c>
      <c r="H13" s="23">
        <f>'Resid Cust Fcst '!$BG14*'Resid TSM UC Adj'!H13</f>
        <v>0</v>
      </c>
      <c r="I13" s="45">
        <f>IF(SUM(F13:H13)=0,0,SUM(F13:H13)/'Resid Cust Fcst '!BG14)</f>
        <v>0</v>
      </c>
      <c r="J13" s="137">
        <f>'Resid Cust Fcst '!$BH14*'Resid TSM UC Adj'!J13</f>
        <v>0</v>
      </c>
      <c r="K13" s="23">
        <f>'Resid Cust Fcst '!$BH14*'Resid TSM UC Adj'!K13</f>
        <v>0</v>
      </c>
      <c r="L13" s="23">
        <f>'Resid Cust Fcst '!$BH14*'Resid TSM UC Adj'!L13</f>
        <v>0</v>
      </c>
      <c r="M13" s="45">
        <f>IF(SUM(J13:L13)=0,0,SUM(J13:L13)/'Resid Cust Fcst '!BH14)</f>
        <v>0</v>
      </c>
      <c r="N13" s="137">
        <f>'Resid Cust Fcst '!$BI14*'Resid TSM UC Adj'!N13</f>
        <v>0</v>
      </c>
      <c r="O13" s="23">
        <f>'Resid Cust Fcst '!$BI14*'Resid TSM UC Adj'!O13</f>
        <v>0</v>
      </c>
      <c r="P13" s="23">
        <f>'Resid Cust Fcst '!$BI14*'Resid TSM UC Adj'!P13</f>
        <v>0</v>
      </c>
      <c r="Q13" s="45">
        <f>IF(SUM(N13:P13)=0,0,SUM(N13:P13)/'Resid Cust Fcst '!BI14)</f>
        <v>0</v>
      </c>
      <c r="R13" s="137">
        <f t="shared" si="2"/>
        <v>0</v>
      </c>
      <c r="S13" s="23">
        <f t="shared" si="0"/>
        <v>0</v>
      </c>
      <c r="T13" s="23">
        <f t="shared" si="0"/>
        <v>0</v>
      </c>
      <c r="U13" s="45">
        <f>IF(SUM(R13:T13)=0,0,SUM(R13:T13)/'Resid Cust Fcst '!BJ14)</f>
        <v>0</v>
      </c>
      <c r="V13" s="137">
        <f>'Resid Cust Fcst '!$BK14*'Resid TSM UC Adj'!R13</f>
        <v>0</v>
      </c>
      <c r="W13" s="23">
        <f>'Resid Cust Fcst '!$BK14*'Resid TSM UC Adj'!S13</f>
        <v>0</v>
      </c>
      <c r="X13" s="23">
        <f>'Resid Cust Fcst '!$BK14*'Resid TSM UC Adj'!T13</f>
        <v>0</v>
      </c>
      <c r="Y13" s="45">
        <f>IF(SUM(V13:X13)=0,0,SUM(V13:X13)/'Resid Cust Fcst '!BK14)</f>
        <v>0</v>
      </c>
      <c r="Z13" s="137">
        <f t="shared" si="3"/>
        <v>0</v>
      </c>
      <c r="AA13" s="23">
        <f t="shared" si="1"/>
        <v>0</v>
      </c>
      <c r="AB13" s="23">
        <f t="shared" si="1"/>
        <v>0</v>
      </c>
      <c r="AC13" s="45">
        <f>IF(SUM(Z13:AB13)=0,0,SUM(Z13:AB13)/'Resid Cust Fcst '!BL14)</f>
        <v>0</v>
      </c>
    </row>
    <row r="14" spans="1:29">
      <c r="A14" s="153" t="s">
        <v>10</v>
      </c>
      <c r="B14" s="137">
        <f>'Resid Cust Fcst '!$BF15*'Resid TSM UC Adj'!B14</f>
        <v>0</v>
      </c>
      <c r="C14" s="23">
        <f>'Resid Cust Fcst '!$BF15*'Resid TSM UC Adj'!C14</f>
        <v>0</v>
      </c>
      <c r="D14" s="23">
        <f>'Resid Cust Fcst '!$BF15*'Resid TSM UC Adj'!D14</f>
        <v>0</v>
      </c>
      <c r="E14" s="45">
        <f>IF(SUM(B14:D14)=0,0,SUM(B14:D14)/'Resid Cust Fcst '!BF15)</f>
        <v>0</v>
      </c>
      <c r="F14" s="137">
        <f>'Resid Cust Fcst '!$BG15*'Resid TSM UC Adj'!F14</f>
        <v>0</v>
      </c>
      <c r="G14" s="23">
        <f>'Resid Cust Fcst '!$BG15*'Resid TSM UC Adj'!G14</f>
        <v>0</v>
      </c>
      <c r="H14" s="23">
        <f>'Resid Cust Fcst '!$BG15*'Resid TSM UC Adj'!H14</f>
        <v>0</v>
      </c>
      <c r="I14" s="45">
        <f>IF(SUM(F14:H14)=0,0,SUM(F14:H14)/'Resid Cust Fcst '!BG15)</f>
        <v>0</v>
      </c>
      <c r="J14" s="137">
        <f>'Resid Cust Fcst '!$BH15*'Resid TSM UC Adj'!J14</f>
        <v>0</v>
      </c>
      <c r="K14" s="23">
        <f>'Resid Cust Fcst '!$BH15*'Resid TSM UC Adj'!K14</f>
        <v>0</v>
      </c>
      <c r="L14" s="23">
        <f>'Resid Cust Fcst '!$BH15*'Resid TSM UC Adj'!L14</f>
        <v>0</v>
      </c>
      <c r="M14" s="45">
        <f>IF(SUM(J14:L14)=0,0,SUM(J14:L14)/'Resid Cust Fcst '!BH15)</f>
        <v>0</v>
      </c>
      <c r="N14" s="137">
        <f>'Resid Cust Fcst '!$BI15*'Resid TSM UC Adj'!N14</f>
        <v>0</v>
      </c>
      <c r="O14" s="23">
        <f>'Resid Cust Fcst '!$BI15*'Resid TSM UC Adj'!O14</f>
        <v>0</v>
      </c>
      <c r="P14" s="23">
        <f>'Resid Cust Fcst '!$BI15*'Resid TSM UC Adj'!P14</f>
        <v>0</v>
      </c>
      <c r="Q14" s="45">
        <f>IF(SUM(N14:P14)=0,0,SUM(N14:P14)/'Resid Cust Fcst '!BI15)</f>
        <v>0</v>
      </c>
      <c r="R14" s="137">
        <f t="shared" si="2"/>
        <v>0</v>
      </c>
      <c r="S14" s="23">
        <f t="shared" si="0"/>
        <v>0</v>
      </c>
      <c r="T14" s="23">
        <f t="shared" si="0"/>
        <v>0</v>
      </c>
      <c r="U14" s="45">
        <f>IF(SUM(R14:T14)=0,0,SUM(R14:T14)/'Resid Cust Fcst '!BJ15)</f>
        <v>0</v>
      </c>
      <c r="V14" s="137">
        <f>'Resid Cust Fcst '!$BK15*'Resid TSM UC Adj'!R14</f>
        <v>0</v>
      </c>
      <c r="W14" s="23">
        <f>'Resid Cust Fcst '!$BK15*'Resid TSM UC Adj'!S14</f>
        <v>0</v>
      </c>
      <c r="X14" s="23">
        <f>'Resid Cust Fcst '!$BK15*'Resid TSM UC Adj'!T14</f>
        <v>0</v>
      </c>
      <c r="Y14" s="45">
        <f>IF(SUM(V14:X14)=0,0,SUM(V14:X14)/'Resid Cust Fcst '!BK15)</f>
        <v>0</v>
      </c>
      <c r="Z14" s="137">
        <f t="shared" si="3"/>
        <v>0</v>
      </c>
      <c r="AA14" s="23">
        <f t="shared" si="1"/>
        <v>0</v>
      </c>
      <c r="AB14" s="23">
        <f t="shared" si="1"/>
        <v>0</v>
      </c>
      <c r="AC14" s="45">
        <f>IF(SUM(Z14:AB14)=0,0,SUM(Z14:AB14)/'Resid Cust Fcst '!BL15)</f>
        <v>0</v>
      </c>
    </row>
    <row r="15" spans="1:29">
      <c r="A15" s="153" t="s">
        <v>11</v>
      </c>
      <c r="B15" s="137">
        <f>'Resid Cust Fcst '!$BF16*'Resid TSM UC Adj'!B15</f>
        <v>0</v>
      </c>
      <c r="C15" s="23">
        <f>'Resid Cust Fcst '!$BF16*'Resid TSM UC Adj'!C15</f>
        <v>0</v>
      </c>
      <c r="D15" s="23">
        <f>'Resid Cust Fcst '!$BF16*'Resid TSM UC Adj'!D15</f>
        <v>0</v>
      </c>
      <c r="E15" s="45">
        <f>IF(SUM(B15:D15)=0,0,SUM(B15:D15)/'Resid Cust Fcst '!BF16)</f>
        <v>0</v>
      </c>
      <c r="F15" s="137">
        <f>'Resid Cust Fcst '!$BG16*'Resid TSM UC Adj'!F15</f>
        <v>0</v>
      </c>
      <c r="G15" s="23">
        <f>'Resid Cust Fcst '!$BG16*'Resid TSM UC Adj'!G15</f>
        <v>0</v>
      </c>
      <c r="H15" s="23">
        <f>'Resid Cust Fcst '!$BG16*'Resid TSM UC Adj'!H15</f>
        <v>0</v>
      </c>
      <c r="I15" s="45">
        <f>IF(SUM(F15:H15)=0,0,SUM(F15:H15)/'Resid Cust Fcst '!BG16)</f>
        <v>0</v>
      </c>
      <c r="J15" s="137">
        <f>'Resid Cust Fcst '!$BH16*'Resid TSM UC Adj'!J15</f>
        <v>0</v>
      </c>
      <c r="K15" s="23">
        <f>'Resid Cust Fcst '!$BH16*'Resid TSM UC Adj'!K15</f>
        <v>0</v>
      </c>
      <c r="L15" s="23">
        <f>'Resid Cust Fcst '!$BH16*'Resid TSM UC Adj'!L15</f>
        <v>0</v>
      </c>
      <c r="M15" s="45">
        <f>IF(SUM(J15:L15)=0,0,SUM(J15:L15)/'Resid Cust Fcst '!BH16)</f>
        <v>0</v>
      </c>
      <c r="N15" s="137">
        <f>'Resid Cust Fcst '!$BI16*'Resid TSM UC Adj'!N15</f>
        <v>0</v>
      </c>
      <c r="O15" s="23">
        <f>'Resid Cust Fcst '!$BI16*'Resid TSM UC Adj'!O15</f>
        <v>0</v>
      </c>
      <c r="P15" s="23">
        <f>'Resid Cust Fcst '!$BI16*'Resid TSM UC Adj'!P15</f>
        <v>0</v>
      </c>
      <c r="Q15" s="45">
        <f>IF(SUM(N15:P15)=0,0,SUM(N15:P15)/'Resid Cust Fcst '!BI16)</f>
        <v>0</v>
      </c>
      <c r="R15" s="137">
        <f t="shared" si="2"/>
        <v>0</v>
      </c>
      <c r="S15" s="23">
        <f t="shared" si="0"/>
        <v>0</v>
      </c>
      <c r="T15" s="23">
        <f t="shared" si="0"/>
        <v>0</v>
      </c>
      <c r="U15" s="45">
        <f>IF(SUM(R15:T15)=0,0,SUM(R15:T15)/'Resid Cust Fcst '!BJ16)</f>
        <v>0</v>
      </c>
      <c r="V15" s="137">
        <f>'Resid Cust Fcst '!$BK16*'Resid TSM UC Adj'!R15</f>
        <v>0</v>
      </c>
      <c r="W15" s="23">
        <f>'Resid Cust Fcst '!$BK16*'Resid TSM UC Adj'!S15</f>
        <v>0</v>
      </c>
      <c r="X15" s="23">
        <f>'Resid Cust Fcst '!$BK16*'Resid TSM UC Adj'!T15</f>
        <v>0</v>
      </c>
      <c r="Y15" s="45">
        <f>IF(SUM(V15:X15)=0,0,SUM(V15:X15)/'Resid Cust Fcst '!BK16)</f>
        <v>0</v>
      </c>
      <c r="Z15" s="137">
        <f t="shared" si="3"/>
        <v>0</v>
      </c>
      <c r="AA15" s="23">
        <f t="shared" si="1"/>
        <v>0</v>
      </c>
      <c r="AB15" s="23">
        <f t="shared" si="1"/>
        <v>0</v>
      </c>
      <c r="AC15" s="45">
        <f>IF(SUM(Z15:AB15)=0,0,SUM(Z15:AB15)/'Resid Cust Fcst '!BL16)</f>
        <v>0</v>
      </c>
    </row>
    <row r="16" spans="1:29">
      <c r="A16" s="153" t="s">
        <v>120</v>
      </c>
      <c r="B16" s="137">
        <f>'Resid Cust Fcst '!$BF17*'Resid TSM UC Adj'!B16</f>
        <v>0</v>
      </c>
      <c r="C16" s="23">
        <f>'Resid Cust Fcst '!$BF17*'Resid TSM UC Adj'!C16</f>
        <v>0</v>
      </c>
      <c r="D16" s="23">
        <f>'Resid Cust Fcst '!$BF17*'Resid TSM UC Adj'!D16</f>
        <v>0</v>
      </c>
      <c r="E16" s="45">
        <f>IF(SUM(B16:D16)=0,0,SUM(B16:D16)/'Resid Cust Fcst '!BF17)</f>
        <v>0</v>
      </c>
      <c r="F16" s="137">
        <f>'Resid Cust Fcst '!$BG17*'Resid TSM UC Adj'!F16</f>
        <v>0</v>
      </c>
      <c r="G16" s="23">
        <f>'Resid Cust Fcst '!$BG17*'Resid TSM UC Adj'!G16</f>
        <v>0</v>
      </c>
      <c r="H16" s="23">
        <f>'Resid Cust Fcst '!$BG17*'Resid TSM UC Adj'!H16</f>
        <v>0</v>
      </c>
      <c r="I16" s="45">
        <f>IF(SUM(F16:H16)=0,0,SUM(F16:H16)/'Resid Cust Fcst '!BG17)</f>
        <v>0</v>
      </c>
      <c r="J16" s="137">
        <f>'Resid Cust Fcst '!$BH17*'Resid TSM UC Adj'!J16</f>
        <v>0</v>
      </c>
      <c r="K16" s="23">
        <f>'Resid Cust Fcst '!$BH17*'Resid TSM UC Adj'!K16</f>
        <v>0</v>
      </c>
      <c r="L16" s="23">
        <f>'Resid Cust Fcst '!$BH17*'Resid TSM UC Adj'!L16</f>
        <v>0</v>
      </c>
      <c r="M16" s="45">
        <f>IF(SUM(J16:L16)=0,0,SUM(J16:L16)/'Resid Cust Fcst '!BH17)</f>
        <v>0</v>
      </c>
      <c r="N16" s="137">
        <f>'Resid Cust Fcst '!$BI17*'Resid TSM UC Adj'!N16</f>
        <v>0</v>
      </c>
      <c r="O16" s="23">
        <f>'Resid Cust Fcst '!$BI17*'Resid TSM UC Adj'!O16</f>
        <v>0</v>
      </c>
      <c r="P16" s="23">
        <f>'Resid Cust Fcst '!$BI17*'Resid TSM UC Adj'!P16</f>
        <v>0</v>
      </c>
      <c r="Q16" s="45">
        <f>IF(SUM(N16:P16)=0,0,SUM(N16:P16)/'Resid Cust Fcst '!BI17)</f>
        <v>0</v>
      </c>
      <c r="R16" s="137">
        <f t="shared" si="2"/>
        <v>0</v>
      </c>
      <c r="S16" s="23">
        <f t="shared" si="0"/>
        <v>0</v>
      </c>
      <c r="T16" s="23">
        <f t="shared" si="0"/>
        <v>0</v>
      </c>
      <c r="U16" s="45">
        <f>IF(SUM(R16:T16)=0,0,SUM(R16:T16)/'Resid Cust Fcst '!BJ17)</f>
        <v>0</v>
      </c>
      <c r="V16" s="137">
        <f>'Resid Cust Fcst '!$BK17*'Resid TSM UC Adj'!R16</f>
        <v>0</v>
      </c>
      <c r="W16" s="23">
        <f>'Resid Cust Fcst '!$BK17*'Resid TSM UC Adj'!S16</f>
        <v>0</v>
      </c>
      <c r="X16" s="23">
        <f>'Resid Cust Fcst '!$BK17*'Resid TSM UC Adj'!T16</f>
        <v>0</v>
      </c>
      <c r="Y16" s="45">
        <f>IF(SUM(V16:X16)=0,0,SUM(V16:X16)/'Resid Cust Fcst '!BK17)</f>
        <v>0</v>
      </c>
      <c r="Z16" s="137">
        <f t="shared" si="3"/>
        <v>0</v>
      </c>
      <c r="AA16" s="23">
        <f t="shared" si="1"/>
        <v>0</v>
      </c>
      <c r="AB16" s="23">
        <f t="shared" si="1"/>
        <v>0</v>
      </c>
      <c r="AC16" s="45">
        <f>IF(SUM(Z16:AB16)=0,0,SUM(Z16:AB16)/'Resid Cust Fcst '!BL17)</f>
        <v>0</v>
      </c>
    </row>
    <row r="17" spans="1:29">
      <c r="A17" s="153" t="s">
        <v>121</v>
      </c>
      <c r="B17" s="137">
        <f>'Resid Cust Fcst '!$BF18*'Resid TSM UC Adj'!J17</f>
        <v>0</v>
      </c>
      <c r="C17" s="23">
        <f>'Resid Cust Fcst '!$BF18*'Resid TSM UC Adj'!K17</f>
        <v>0</v>
      </c>
      <c r="D17" s="23">
        <f>'Resid Cust Fcst '!$BF18*'Resid TSM UC Adj'!L17</f>
        <v>0</v>
      </c>
      <c r="E17" s="45">
        <f>IF(SUM(B17:D17)=0,0,SUM(B17:D17)/'Resid Cust Fcst '!BF18)</f>
        <v>0</v>
      </c>
      <c r="F17" s="137">
        <f>'Resid Cust Fcst '!$BG18*'Resid TSM UC Adj'!F17</f>
        <v>0</v>
      </c>
      <c r="G17" s="23">
        <f>'Resid Cust Fcst '!$BG18*'Resid TSM UC Adj'!G17</f>
        <v>0</v>
      </c>
      <c r="H17" s="23">
        <f>'Resid Cust Fcst '!$BG18*'Resid TSM UC Adj'!H17</f>
        <v>0</v>
      </c>
      <c r="I17" s="45">
        <f>IF(SUM(F17:H17)=0,0,SUM(F17:H17)/'Resid Cust Fcst '!BG18)</f>
        <v>0</v>
      </c>
      <c r="J17" s="137">
        <f>'Resid Cust Fcst '!$BH18*'Resid TSM UC Adj'!J17</f>
        <v>0</v>
      </c>
      <c r="K17" s="23">
        <f>'Resid Cust Fcst '!$BH18*'Resid TSM UC Adj'!K17</f>
        <v>0</v>
      </c>
      <c r="L17" s="23">
        <f>'Resid Cust Fcst '!$BH18*'Resid TSM UC Adj'!L17</f>
        <v>0</v>
      </c>
      <c r="M17" s="45">
        <f>IF(SUM(J17:L17)=0,0,SUM(J17:L17)/'Resid Cust Fcst '!BH18)</f>
        <v>0</v>
      </c>
      <c r="N17" s="137">
        <f>'Resid Cust Fcst '!$BI18*'Resid TSM UC Adj'!N17</f>
        <v>0</v>
      </c>
      <c r="O17" s="23">
        <f>'Resid Cust Fcst '!$BI18*'Resid TSM UC Adj'!O17</f>
        <v>0</v>
      </c>
      <c r="P17" s="23">
        <f>'Resid Cust Fcst '!$BI18*'Resid TSM UC Adj'!P17</f>
        <v>0</v>
      </c>
      <c r="Q17" s="45">
        <f>IF(SUM(N17:P17)=0,0,SUM(N17:P17)/'Resid Cust Fcst '!BI18)</f>
        <v>0</v>
      </c>
      <c r="R17" s="137">
        <f t="shared" si="2"/>
        <v>0</v>
      </c>
      <c r="S17" s="23">
        <f t="shared" si="0"/>
        <v>0</v>
      </c>
      <c r="T17" s="23">
        <f t="shared" si="0"/>
        <v>0</v>
      </c>
      <c r="U17" s="45">
        <f>IF(SUM(R17:T17)=0,0,SUM(R17:T17)/'Resid Cust Fcst '!BJ18)</f>
        <v>0</v>
      </c>
      <c r="V17" s="137">
        <f>'Resid Cust Fcst '!$BK18*'Resid TSM UC Adj'!R17</f>
        <v>0</v>
      </c>
      <c r="W17" s="23">
        <f>'Resid Cust Fcst '!$BK18*'Resid TSM UC Adj'!S17</f>
        <v>0</v>
      </c>
      <c r="X17" s="23">
        <f>'Resid Cust Fcst '!$BK18*'Resid TSM UC Adj'!T17</f>
        <v>0</v>
      </c>
      <c r="Y17" s="45">
        <f>IF(SUM(V17:X17)=0,0,SUM(V17:X17)/'Resid Cust Fcst '!BK18)</f>
        <v>0</v>
      </c>
      <c r="Z17" s="137">
        <f t="shared" si="3"/>
        <v>0</v>
      </c>
      <c r="AA17" s="23">
        <f t="shared" si="1"/>
        <v>0</v>
      </c>
      <c r="AB17" s="23">
        <f t="shared" si="1"/>
        <v>0</v>
      </c>
      <c r="AC17" s="45">
        <f>IF(SUM(Z17:AB17)=0,0,SUM(Z17:AB17)/'Resid Cust Fcst '!BL18)</f>
        <v>0</v>
      </c>
    </row>
    <row r="18" spans="1:29">
      <c r="A18" s="153" t="s">
        <v>12</v>
      </c>
      <c r="B18" s="137">
        <f>'Resid Cust Fcst '!$BF19*'Resid TSM UC Adj'!J18</f>
        <v>0</v>
      </c>
      <c r="C18" s="23">
        <f>'Resid Cust Fcst '!$BF19*'Resid TSM UC Adj'!K18</f>
        <v>0</v>
      </c>
      <c r="D18" s="23">
        <f>'Resid Cust Fcst '!$BF19*'Resid TSM UC Adj'!L18</f>
        <v>0</v>
      </c>
      <c r="E18" s="45">
        <f>IF(SUM(B18:D18)=0,0,SUM(B18:D18)/'Resid Cust Fcst '!BF19)</f>
        <v>0</v>
      </c>
      <c r="F18" s="137">
        <f>'Resid Cust Fcst '!$BG19*'Resid TSM UC Adj'!J18</f>
        <v>0</v>
      </c>
      <c r="G18" s="23">
        <f>'Resid Cust Fcst '!$BG19*'Resid TSM UC Adj'!K18</f>
        <v>0</v>
      </c>
      <c r="H18" s="23">
        <f>'Resid Cust Fcst '!$BG19*'Resid TSM UC Adj'!L18</f>
        <v>0</v>
      </c>
      <c r="I18" s="45">
        <f>IF(SUM(F18:H18)=0,0,SUM(F18:H18)/'Resid Cust Fcst '!BG19)</f>
        <v>0</v>
      </c>
      <c r="J18" s="137">
        <f>'Resid Cust Fcst '!$BH19*'Resid TSM UC Adj'!J18</f>
        <v>0</v>
      </c>
      <c r="K18" s="23">
        <f>'Resid Cust Fcst '!$BH19*'Resid TSM UC Adj'!K18</f>
        <v>0</v>
      </c>
      <c r="L18" s="23">
        <f>'Resid Cust Fcst '!$BH19*'Resid TSM UC Adj'!L18</f>
        <v>0</v>
      </c>
      <c r="M18" s="45">
        <f>IF(SUM(J18:L18)=0,0,SUM(J18:L18)/'Resid Cust Fcst '!BH19)</f>
        <v>0</v>
      </c>
      <c r="N18" s="137">
        <f>'Resid Cust Fcst '!$BI19*'Resid TSM UC Adj'!N18</f>
        <v>0</v>
      </c>
      <c r="O18" s="23">
        <f>'Resid Cust Fcst '!$BI19*'Resid TSM UC Adj'!O18</f>
        <v>0</v>
      </c>
      <c r="P18" s="23">
        <f>'Resid Cust Fcst '!$BI19*'Resid TSM UC Adj'!P18</f>
        <v>0</v>
      </c>
      <c r="Q18" s="45">
        <f>IF(SUM(N18:P18)=0,0,SUM(N18:P18)/'Resid Cust Fcst '!BI19)</f>
        <v>0</v>
      </c>
      <c r="R18" s="137">
        <f t="shared" si="2"/>
        <v>0</v>
      </c>
      <c r="S18" s="23">
        <f t="shared" si="0"/>
        <v>0</v>
      </c>
      <c r="T18" s="23">
        <f t="shared" si="0"/>
        <v>0</v>
      </c>
      <c r="U18" s="45">
        <f>IF(SUM(R18:T18)=0,0,SUM(R18:T18)/'Resid Cust Fcst '!BJ19)</f>
        <v>0</v>
      </c>
      <c r="V18" s="137">
        <f>'Resid Cust Fcst '!$BK19*'Resid TSM UC Adj'!R18</f>
        <v>0</v>
      </c>
      <c r="W18" s="23">
        <f>'Resid Cust Fcst '!$BK19*'Resid TSM UC Adj'!S18</f>
        <v>0</v>
      </c>
      <c r="X18" s="23">
        <f>'Resid Cust Fcst '!$BK19*'Resid TSM UC Adj'!T18</f>
        <v>0</v>
      </c>
      <c r="Y18" s="45">
        <f>IF(SUM(V18:X18)=0,0,SUM(V18:X18)/'Resid Cust Fcst '!BK19)</f>
        <v>0</v>
      </c>
      <c r="Z18" s="137">
        <f t="shared" si="3"/>
        <v>0</v>
      </c>
      <c r="AA18" s="23">
        <f t="shared" si="1"/>
        <v>0</v>
      </c>
      <c r="AB18" s="23">
        <f t="shared" si="1"/>
        <v>0</v>
      </c>
      <c r="AC18" s="45">
        <f>IF(SUM(Z18:AB18)=0,0,SUM(Z18:AB18)/'Resid Cust Fcst '!BL19)</f>
        <v>0</v>
      </c>
    </row>
    <row r="19" spans="1:29" s="58" customFormat="1">
      <c r="A19" s="134" t="s">
        <v>13</v>
      </c>
      <c r="B19" s="137">
        <f>'Resid Cust Fcst '!$BF20*'Resid TSM UC Adj'!J19</f>
        <v>0</v>
      </c>
      <c r="C19" s="23">
        <f>'Resid Cust Fcst '!$BF20*'Resid TSM UC Adj'!K19</f>
        <v>0</v>
      </c>
      <c r="D19" s="23">
        <f>'Resid Cust Fcst '!$BF20*'Resid TSM UC Adj'!L19</f>
        <v>0</v>
      </c>
      <c r="E19" s="45">
        <f>IF(SUM(B19:D19)=0,0,SUM(B19:D19)/'Resid Cust Fcst '!BF20)</f>
        <v>0</v>
      </c>
      <c r="F19" s="137">
        <f>'Resid Cust Fcst '!$BG20*'Resid TSM UC Adj'!J19</f>
        <v>0</v>
      </c>
      <c r="G19" s="23">
        <f>'Resid Cust Fcst '!$BG20*'Resid TSM UC Adj'!K19</f>
        <v>0</v>
      </c>
      <c r="H19" s="23">
        <f>'Resid Cust Fcst '!$BG20*'Resid TSM UC Adj'!L19</f>
        <v>0</v>
      </c>
      <c r="I19" s="45">
        <f>IF(SUM(F19:H19)=0,0,SUM(F19:H19)/'Resid Cust Fcst '!BG20)</f>
        <v>0</v>
      </c>
      <c r="J19" s="137">
        <f>'Resid Cust Fcst '!$BH20*'Resid TSM UC Adj'!J19</f>
        <v>0</v>
      </c>
      <c r="K19" s="23">
        <f>'Resid Cust Fcst '!$BH20*'Resid TSM UC Adj'!K19</f>
        <v>0</v>
      </c>
      <c r="L19" s="23">
        <f>'Resid Cust Fcst '!$BH20*'Resid TSM UC Adj'!L19</f>
        <v>0</v>
      </c>
      <c r="M19" s="45">
        <f>IF(SUM(J19:L19)=0,0,SUM(J19:L19)/'Resid Cust Fcst '!BH20)</f>
        <v>0</v>
      </c>
      <c r="N19" s="137">
        <f>'Resid Cust Fcst '!$BI20*'Resid TSM UC Adj'!N19</f>
        <v>0</v>
      </c>
      <c r="O19" s="23">
        <f>'Resid Cust Fcst '!$BI20*'Resid TSM UC Adj'!O19</f>
        <v>0</v>
      </c>
      <c r="P19" s="23">
        <f>'Resid Cust Fcst '!$BI20*'Resid TSM UC Adj'!P19</f>
        <v>0</v>
      </c>
      <c r="Q19" s="45">
        <f>IF(SUM(N19:P19)=0,0,SUM(N19:P19)/'Resid Cust Fcst '!BI20)</f>
        <v>0</v>
      </c>
      <c r="R19" s="137">
        <f t="shared" si="2"/>
        <v>0</v>
      </c>
      <c r="S19" s="23">
        <f t="shared" si="0"/>
        <v>0</v>
      </c>
      <c r="T19" s="23">
        <f t="shared" si="0"/>
        <v>0</v>
      </c>
      <c r="U19" s="45">
        <f>IF(SUM(R19:T19)=0,0,SUM(R19:T19)/'Resid Cust Fcst '!BJ20)</f>
        <v>0</v>
      </c>
      <c r="V19" s="137">
        <f>'Resid Cust Fcst '!$BK20*'Resid TSM UC Adj'!R19</f>
        <v>0</v>
      </c>
      <c r="W19" s="23">
        <f>'Resid Cust Fcst '!$BK20*'Resid TSM UC Adj'!S19</f>
        <v>0</v>
      </c>
      <c r="X19" s="23">
        <f>'Resid Cust Fcst '!$BK20*'Resid TSM UC Adj'!T19</f>
        <v>0</v>
      </c>
      <c r="Y19" s="45">
        <f>IF(SUM(V19:X19)=0,0,SUM(V19:X19)/'Resid Cust Fcst '!BK20)</f>
        <v>0</v>
      </c>
      <c r="Z19" s="137">
        <f t="shared" si="3"/>
        <v>0</v>
      </c>
      <c r="AA19" s="23">
        <f t="shared" si="1"/>
        <v>0</v>
      </c>
      <c r="AB19" s="23">
        <f t="shared" si="1"/>
        <v>0</v>
      </c>
      <c r="AC19" s="45">
        <f>IF(SUM(Z19:AB19)=0,0,SUM(Z19:AB19)/'Resid Cust Fcst '!BL20)</f>
        <v>0</v>
      </c>
    </row>
    <row r="20" spans="1:29">
      <c r="A20" s="153" t="s">
        <v>122</v>
      </c>
      <c r="B20" s="137">
        <f>'Resid Cust Fcst '!$BF21*'Resid TSM UC Adj'!J20</f>
        <v>0</v>
      </c>
      <c r="C20" s="23">
        <f>'Resid Cust Fcst '!$BF21*'Resid TSM UC Adj'!K20</f>
        <v>0</v>
      </c>
      <c r="D20" s="23">
        <f>'Resid Cust Fcst '!$BF21*'Resid TSM UC Adj'!L20</f>
        <v>0</v>
      </c>
      <c r="E20" s="45">
        <f>IF(SUM(B20:D20)=0,0,SUM(B20:D20)/'Resid Cust Fcst '!BF21)</f>
        <v>0</v>
      </c>
      <c r="F20" s="137">
        <f>'Resid Cust Fcst '!$BG21*'Resid TSM UC Adj'!J20</f>
        <v>0</v>
      </c>
      <c r="G20" s="23">
        <f>'Resid Cust Fcst '!$BG21*'Resid TSM UC Adj'!K20</f>
        <v>0</v>
      </c>
      <c r="H20" s="23">
        <f>'Resid Cust Fcst '!$BG21*'Resid TSM UC Adj'!L20</f>
        <v>0</v>
      </c>
      <c r="I20" s="45">
        <f>IF(SUM(F20:H20)=0,0,SUM(F20:H20)/'Resid Cust Fcst '!BG21)</f>
        <v>0</v>
      </c>
      <c r="J20" s="137">
        <f>'Resid Cust Fcst '!$BH21*'Resid TSM UC Adj'!J20</f>
        <v>0</v>
      </c>
      <c r="K20" s="23">
        <f>'Resid Cust Fcst '!$BH21*'Resid TSM UC Adj'!K20</f>
        <v>0</v>
      </c>
      <c r="L20" s="23">
        <f>'Resid Cust Fcst '!$BH21*'Resid TSM UC Adj'!L20</f>
        <v>0</v>
      </c>
      <c r="M20" s="45">
        <f>IF(SUM(J20:L20)=0,0,SUM(J20:L20)/'Resid Cust Fcst '!BH21)</f>
        <v>0</v>
      </c>
      <c r="N20" s="137">
        <f>'Resid Cust Fcst '!$BI21*'Resid TSM UC Adj'!N20</f>
        <v>0</v>
      </c>
      <c r="O20" s="23">
        <f>'Resid Cust Fcst '!$BI21*'Resid TSM UC Adj'!O20</f>
        <v>0</v>
      </c>
      <c r="P20" s="23">
        <f>'Resid Cust Fcst '!$BI21*'Resid TSM UC Adj'!P20</f>
        <v>0</v>
      </c>
      <c r="Q20" s="45">
        <f>IF(SUM(N20:P20)=0,0,SUM(N20:P20)/'Resid Cust Fcst '!BI21)</f>
        <v>0</v>
      </c>
      <c r="R20" s="137">
        <f t="shared" si="2"/>
        <v>0</v>
      </c>
      <c r="S20" s="23">
        <f t="shared" si="0"/>
        <v>0</v>
      </c>
      <c r="T20" s="23">
        <f t="shared" si="0"/>
        <v>0</v>
      </c>
      <c r="U20" s="45">
        <f>IF(SUM(R20:T20)=0,0,SUM(R20:T20)/'Resid Cust Fcst '!BJ21)</f>
        <v>0</v>
      </c>
      <c r="V20" s="137">
        <f>'Resid Cust Fcst '!$BK21*'Resid TSM UC Adj'!R20</f>
        <v>0</v>
      </c>
      <c r="W20" s="23">
        <f>'Resid Cust Fcst '!$BK21*'Resid TSM UC Adj'!S20</f>
        <v>0</v>
      </c>
      <c r="X20" s="23">
        <f>'Resid Cust Fcst '!$BK21*'Resid TSM UC Adj'!T20</f>
        <v>0</v>
      </c>
      <c r="Y20" s="45">
        <f>IF(SUM(V20:X20)=0,0,SUM(V20:X20)/'Resid Cust Fcst '!BK21)</f>
        <v>0</v>
      </c>
      <c r="Z20" s="137">
        <f t="shared" si="3"/>
        <v>0</v>
      </c>
      <c r="AA20" s="23">
        <f t="shared" si="1"/>
        <v>0</v>
      </c>
      <c r="AB20" s="23">
        <f t="shared" si="1"/>
        <v>0</v>
      </c>
      <c r="AC20" s="45">
        <f>IF(SUM(Z20:AB20)=0,0,SUM(Z20:AB20)/'Resid Cust Fcst '!BL21)</f>
        <v>0</v>
      </c>
    </row>
    <row r="21" spans="1:29">
      <c r="A21" s="153" t="s">
        <v>123</v>
      </c>
      <c r="B21" s="137">
        <f>'Resid Cust Fcst '!$BF22*'Resid TSM UC Adj'!J21</f>
        <v>0</v>
      </c>
      <c r="C21" s="23">
        <f>'Resid Cust Fcst '!$BF22*'Resid TSM UC Adj'!K21</f>
        <v>0</v>
      </c>
      <c r="D21" s="23">
        <f>'Resid Cust Fcst '!$BF22*'Resid TSM UC Adj'!L21</f>
        <v>0</v>
      </c>
      <c r="E21" s="45">
        <f>IF(SUM(B21:D21)=0,0,SUM(B21:D21)/'Resid Cust Fcst '!BF22)</f>
        <v>0</v>
      </c>
      <c r="F21" s="137">
        <f>'Resid Cust Fcst '!$BG22*'Resid TSM UC Adj'!J21</f>
        <v>0</v>
      </c>
      <c r="G21" s="23">
        <f>'Resid Cust Fcst '!$BG22*'Resid TSM UC Adj'!K21</f>
        <v>0</v>
      </c>
      <c r="H21" s="23">
        <f>'Resid Cust Fcst '!$BG22*'Resid TSM UC Adj'!L21</f>
        <v>0</v>
      </c>
      <c r="I21" s="45">
        <f>IF(SUM(F21:H21)=0,0,SUM(F21:H21)/'Resid Cust Fcst '!BG22)</f>
        <v>0</v>
      </c>
      <c r="J21" s="137">
        <f>'Resid Cust Fcst '!$BH22*'Resid TSM UC Adj'!J21</f>
        <v>0</v>
      </c>
      <c r="K21" s="23">
        <f>'Resid Cust Fcst '!$BH22*'Resid TSM UC Adj'!K21</f>
        <v>0</v>
      </c>
      <c r="L21" s="23">
        <f>'Resid Cust Fcst '!$BH22*'Resid TSM UC Adj'!L21</f>
        <v>0</v>
      </c>
      <c r="M21" s="45">
        <f>IF(SUM(J21:L21)=0,0,SUM(J21:L21)/'Resid Cust Fcst '!BH22)</f>
        <v>0</v>
      </c>
      <c r="N21" s="137">
        <f>'Resid Cust Fcst '!$BI22*'Resid TSM UC Adj'!N21</f>
        <v>0</v>
      </c>
      <c r="O21" s="23">
        <f>'Resid Cust Fcst '!$BI22*'Resid TSM UC Adj'!O21</f>
        <v>0</v>
      </c>
      <c r="P21" s="23">
        <f>'Resid Cust Fcst '!$BI22*'Resid TSM UC Adj'!P21</f>
        <v>0</v>
      </c>
      <c r="Q21" s="45">
        <f>IF(SUM(N21:P21)=0,0,SUM(N21:P21)/'Resid Cust Fcst '!BI22)</f>
        <v>0</v>
      </c>
      <c r="R21" s="137">
        <f t="shared" si="2"/>
        <v>0</v>
      </c>
      <c r="S21" s="23">
        <f t="shared" si="0"/>
        <v>0</v>
      </c>
      <c r="T21" s="23">
        <f t="shared" si="0"/>
        <v>0</v>
      </c>
      <c r="U21" s="45">
        <f>IF(SUM(R21:T21)=0,0,SUM(R21:T21)/'Resid Cust Fcst '!BJ22)</f>
        <v>0</v>
      </c>
      <c r="V21" s="137">
        <f>'Resid Cust Fcst '!$BK22*'Resid TSM UC Adj'!R21</f>
        <v>0</v>
      </c>
      <c r="W21" s="23">
        <f>'Resid Cust Fcst '!$BK22*'Resid TSM UC Adj'!S21</f>
        <v>0</v>
      </c>
      <c r="X21" s="23">
        <f>'Resid Cust Fcst '!$BK22*'Resid TSM UC Adj'!T21</f>
        <v>0</v>
      </c>
      <c r="Y21" s="45">
        <f>IF(SUM(V21:X21)=0,0,SUM(V21:X21)/'Resid Cust Fcst '!BK22)</f>
        <v>0</v>
      </c>
      <c r="Z21" s="137">
        <f t="shared" si="3"/>
        <v>0</v>
      </c>
      <c r="AA21" s="23">
        <f t="shared" si="1"/>
        <v>0</v>
      </c>
      <c r="AB21" s="23">
        <f t="shared" si="1"/>
        <v>0</v>
      </c>
      <c r="AC21" s="45">
        <f>IF(SUM(Z21:AB21)=0,0,SUM(Z21:AB21)/'Resid Cust Fcst '!BL22)</f>
        <v>0</v>
      </c>
    </row>
    <row r="22" spans="1:29">
      <c r="A22" s="153" t="s">
        <v>14</v>
      </c>
      <c r="B22" s="137">
        <f>'Resid Cust Fcst '!$BF23*'Resid TSM UC Adj'!J22</f>
        <v>0</v>
      </c>
      <c r="C22" s="23">
        <f>'Resid Cust Fcst '!$BF23*'Resid TSM UC Adj'!K22</f>
        <v>0</v>
      </c>
      <c r="D22" s="23">
        <f>'Resid Cust Fcst '!$BF23*'Resid TSM UC Adj'!L22</f>
        <v>0</v>
      </c>
      <c r="E22" s="45">
        <f>IF(SUM(B22:D22)=0,0,SUM(B22:D22)/'Resid Cust Fcst '!BF23)</f>
        <v>0</v>
      </c>
      <c r="F22" s="137">
        <f>'Resid Cust Fcst '!$BG23*'Resid TSM UC Adj'!J22</f>
        <v>0</v>
      </c>
      <c r="G22" s="23">
        <f>'Resid Cust Fcst '!$BG23*'Resid TSM UC Adj'!K22</f>
        <v>0</v>
      </c>
      <c r="H22" s="23">
        <f>'Resid Cust Fcst '!$BG23*'Resid TSM UC Adj'!L22</f>
        <v>0</v>
      </c>
      <c r="I22" s="45">
        <f>IF(SUM(F22:H22)=0,0,SUM(F22:H22)/'Resid Cust Fcst '!BG23)</f>
        <v>0</v>
      </c>
      <c r="J22" s="137">
        <f>'Resid Cust Fcst '!$BH23*'Resid TSM UC Adj'!J22</f>
        <v>0</v>
      </c>
      <c r="K22" s="23">
        <f>'Resid Cust Fcst '!$BH23*'Resid TSM UC Adj'!K22</f>
        <v>0</v>
      </c>
      <c r="L22" s="23">
        <f>'Resid Cust Fcst '!$BH23*'Resid TSM UC Adj'!L22</f>
        <v>0</v>
      </c>
      <c r="M22" s="45">
        <f>IF(SUM(J22:L22)=0,0,SUM(J22:L22)/'Resid Cust Fcst '!BH23)</f>
        <v>0</v>
      </c>
      <c r="N22" s="137">
        <f>'Resid Cust Fcst '!$BI23*'Resid TSM UC Adj'!N22</f>
        <v>0</v>
      </c>
      <c r="O22" s="23">
        <f>'Resid Cust Fcst '!$BI23*'Resid TSM UC Adj'!O22</f>
        <v>0</v>
      </c>
      <c r="P22" s="23">
        <f>'Resid Cust Fcst '!$BI23*'Resid TSM UC Adj'!P22</f>
        <v>0</v>
      </c>
      <c r="Q22" s="45">
        <f>IF(SUM(N22:P22)=0,0,SUM(N22:P22)/'Resid Cust Fcst '!BI23)</f>
        <v>0</v>
      </c>
      <c r="R22" s="137">
        <f t="shared" si="2"/>
        <v>0</v>
      </c>
      <c r="S22" s="23">
        <f t="shared" si="0"/>
        <v>0</v>
      </c>
      <c r="T22" s="23">
        <f t="shared" si="0"/>
        <v>0</v>
      </c>
      <c r="U22" s="45">
        <f>IF(SUM(R22:T22)=0,0,SUM(R22:T22)/'Resid Cust Fcst '!BJ23)</f>
        <v>0</v>
      </c>
      <c r="V22" s="137">
        <f>'Resid Cust Fcst '!$BK23*'Resid TSM UC Adj'!R22</f>
        <v>0</v>
      </c>
      <c r="W22" s="23">
        <f>'Resid Cust Fcst '!$BK23*'Resid TSM UC Adj'!S22</f>
        <v>0</v>
      </c>
      <c r="X22" s="23">
        <f>'Resid Cust Fcst '!$BK23*'Resid TSM UC Adj'!T22</f>
        <v>0</v>
      </c>
      <c r="Y22" s="45">
        <f>IF(SUM(V22:X22)=0,0,SUM(V22:X22)/'Resid Cust Fcst '!BK23)</f>
        <v>0</v>
      </c>
      <c r="Z22" s="137">
        <f t="shared" si="3"/>
        <v>0</v>
      </c>
      <c r="AA22" s="23">
        <f t="shared" si="1"/>
        <v>0</v>
      </c>
      <c r="AB22" s="23">
        <f t="shared" si="1"/>
        <v>0</v>
      </c>
      <c r="AC22" s="45">
        <f>IF(SUM(Z22:AB22)=0,0,SUM(Z22:AB22)/'Resid Cust Fcst '!BL23)</f>
        <v>0</v>
      </c>
    </row>
    <row r="23" spans="1:29">
      <c r="A23" s="153" t="s">
        <v>15</v>
      </c>
      <c r="B23" s="137">
        <f>'Resid Cust Fcst '!$BF24*'Resid TSM UC Adj'!J23</f>
        <v>0</v>
      </c>
      <c r="C23" s="23">
        <f>'Resid Cust Fcst '!$BF24*'Resid TSM UC Adj'!K23</f>
        <v>0</v>
      </c>
      <c r="D23" s="23">
        <f>'Resid Cust Fcst '!$BF24*'Resid TSM UC Adj'!L23</f>
        <v>0</v>
      </c>
      <c r="E23" s="45">
        <f>IF(SUM(B23:D23)=0,0,SUM(B23:D23)/'Resid Cust Fcst '!BF24)</f>
        <v>0</v>
      </c>
      <c r="F23" s="137">
        <f>'Resid Cust Fcst '!$BG24*'Resid TSM UC Adj'!J23</f>
        <v>0</v>
      </c>
      <c r="G23" s="23">
        <f>'Resid Cust Fcst '!$BG24*'Resid TSM UC Adj'!K23</f>
        <v>0</v>
      </c>
      <c r="H23" s="23">
        <f>'Resid Cust Fcst '!$BG24*'Resid TSM UC Adj'!L23</f>
        <v>0</v>
      </c>
      <c r="I23" s="45">
        <f>IF(SUM(F23:H23)=0,0,SUM(F23:H23)/'Resid Cust Fcst '!BG24)</f>
        <v>0</v>
      </c>
      <c r="J23" s="137">
        <f>'Resid Cust Fcst '!$BH24*'Resid TSM UC Adj'!J23</f>
        <v>0</v>
      </c>
      <c r="K23" s="23">
        <f>'Resid Cust Fcst '!$BH24*'Resid TSM UC Adj'!K23</f>
        <v>0</v>
      </c>
      <c r="L23" s="23">
        <f>'Resid Cust Fcst '!$BH24*'Resid TSM UC Adj'!L23</f>
        <v>0</v>
      </c>
      <c r="M23" s="45">
        <f>IF(SUM(J23:L23)=0,0,SUM(J23:L23)/'Resid Cust Fcst '!BH24)</f>
        <v>0</v>
      </c>
      <c r="N23" s="137">
        <f>'Resid Cust Fcst '!$BI24*'Resid TSM UC Adj'!N23</f>
        <v>0</v>
      </c>
      <c r="O23" s="23">
        <f>'Resid Cust Fcst '!$BI24*'Resid TSM UC Adj'!O23</f>
        <v>0</v>
      </c>
      <c r="P23" s="23">
        <f>'Resid Cust Fcst '!$BI24*'Resid TSM UC Adj'!P23</f>
        <v>0</v>
      </c>
      <c r="Q23" s="45">
        <f>IF(SUM(N23:P23)=0,0,SUM(N23:P23)/'Resid Cust Fcst '!BI24)</f>
        <v>0</v>
      </c>
      <c r="R23" s="137">
        <f t="shared" si="2"/>
        <v>0</v>
      </c>
      <c r="S23" s="23">
        <f t="shared" si="2"/>
        <v>0</v>
      </c>
      <c r="T23" s="23">
        <f t="shared" si="2"/>
        <v>0</v>
      </c>
      <c r="U23" s="45">
        <f>IF(SUM(R23:T23)=0,0,SUM(R23:T23)/'Resid Cust Fcst '!BJ24)</f>
        <v>0</v>
      </c>
      <c r="V23" s="137">
        <f>'Resid Cust Fcst '!$BK24*'Resid TSM UC Adj'!R23</f>
        <v>0</v>
      </c>
      <c r="W23" s="23">
        <f>'Resid Cust Fcst '!$BK24*'Resid TSM UC Adj'!S23</f>
        <v>0</v>
      </c>
      <c r="X23" s="23">
        <f>'Resid Cust Fcst '!$BK24*'Resid TSM UC Adj'!T23</f>
        <v>0</v>
      </c>
      <c r="Y23" s="45">
        <f>IF(SUM(V23:X23)=0,0,SUM(V23:X23)/'Resid Cust Fcst '!BK24)</f>
        <v>0</v>
      </c>
      <c r="Z23" s="137">
        <f t="shared" si="3"/>
        <v>0</v>
      </c>
      <c r="AA23" s="23">
        <f t="shared" si="3"/>
        <v>0</v>
      </c>
      <c r="AB23" s="23">
        <f t="shared" si="3"/>
        <v>0</v>
      </c>
      <c r="AC23" s="45">
        <f>IF(SUM(Z23:AB23)=0,0,SUM(Z23:AB23)/'Resid Cust Fcst '!BL24)</f>
        <v>0</v>
      </c>
    </row>
    <row r="24" spans="1:29">
      <c r="A24" s="153" t="s">
        <v>16</v>
      </c>
      <c r="B24" s="137">
        <f>'Resid Cust Fcst '!$BF25*'Resid TSM UC Adj'!J24</f>
        <v>0</v>
      </c>
      <c r="C24" s="23">
        <f>'Resid Cust Fcst '!$BF25*'Resid TSM UC Adj'!K24</f>
        <v>0</v>
      </c>
      <c r="D24" s="23">
        <f>'Resid Cust Fcst '!$BF25*'Resid TSM UC Adj'!L24</f>
        <v>0</v>
      </c>
      <c r="E24" s="45">
        <f>IF(SUM(B24:D24)=0,0,SUM(B24:D24)/'Resid Cust Fcst '!BF25)</f>
        <v>0</v>
      </c>
      <c r="F24" s="137">
        <f>'Resid Cust Fcst '!$BG25*'Resid TSM UC Adj'!J24</f>
        <v>0</v>
      </c>
      <c r="G24" s="23">
        <f>'Resid Cust Fcst '!$BG25*'Resid TSM UC Adj'!K24</f>
        <v>0</v>
      </c>
      <c r="H24" s="23">
        <f>'Resid Cust Fcst '!$BG25*'Resid TSM UC Adj'!L24</f>
        <v>0</v>
      </c>
      <c r="I24" s="45">
        <f>IF(SUM(F24:H24)=0,0,SUM(F24:H24)/'Resid Cust Fcst '!BG25)</f>
        <v>0</v>
      </c>
      <c r="J24" s="137">
        <f>'Resid Cust Fcst '!$BH25*'Resid TSM UC Adj'!J24</f>
        <v>0</v>
      </c>
      <c r="K24" s="23">
        <f>'Resid Cust Fcst '!$BH25*'Resid TSM UC Adj'!K24</f>
        <v>0</v>
      </c>
      <c r="L24" s="23">
        <f>'Resid Cust Fcst '!$BH25*'Resid TSM UC Adj'!L24</f>
        <v>0</v>
      </c>
      <c r="M24" s="45">
        <f>IF(SUM(J24:L24)=0,0,SUM(J24:L24)/'Resid Cust Fcst '!BH25)</f>
        <v>0</v>
      </c>
      <c r="N24" s="137">
        <f>'Resid Cust Fcst '!$BI25*'Resid TSM UC Adj'!N24</f>
        <v>0</v>
      </c>
      <c r="O24" s="23">
        <f>'Resid Cust Fcst '!$BI25*'Resid TSM UC Adj'!O24</f>
        <v>0</v>
      </c>
      <c r="P24" s="23">
        <f>'Resid Cust Fcst '!$BI25*'Resid TSM UC Adj'!P24</f>
        <v>0</v>
      </c>
      <c r="Q24" s="45">
        <f>IF(SUM(N24:P24)=0,0,SUM(N24:P24)/'Resid Cust Fcst '!BI25)</f>
        <v>0</v>
      </c>
      <c r="R24" s="137">
        <f t="shared" si="2"/>
        <v>0</v>
      </c>
      <c r="S24" s="23">
        <f t="shared" si="2"/>
        <v>0</v>
      </c>
      <c r="T24" s="23">
        <f t="shared" si="2"/>
        <v>0</v>
      </c>
      <c r="U24" s="45">
        <f>IF(SUM(R24:T24)=0,0,SUM(R24:T24)/'Resid Cust Fcst '!BJ25)</f>
        <v>0</v>
      </c>
      <c r="V24" s="137">
        <f>'Resid Cust Fcst '!$BK25*'Resid TSM UC Adj'!R24</f>
        <v>0</v>
      </c>
      <c r="W24" s="23">
        <f>'Resid Cust Fcst '!$BK25*'Resid TSM UC Adj'!S24</f>
        <v>0</v>
      </c>
      <c r="X24" s="23">
        <f>'Resid Cust Fcst '!$BK25*'Resid TSM UC Adj'!T24</f>
        <v>0</v>
      </c>
      <c r="Y24" s="45">
        <f>IF(SUM(V24:X24)=0,0,SUM(V24:X24)/'Resid Cust Fcst '!BK25)</f>
        <v>0</v>
      </c>
      <c r="Z24" s="137">
        <f t="shared" si="3"/>
        <v>0</v>
      </c>
      <c r="AA24" s="23">
        <f t="shared" si="3"/>
        <v>0</v>
      </c>
      <c r="AB24" s="23">
        <f t="shared" si="3"/>
        <v>0</v>
      </c>
      <c r="AC24" s="45">
        <f>IF(SUM(Z24:AB24)=0,0,SUM(Z24:AB24)/'Resid Cust Fcst '!BL25)</f>
        <v>0</v>
      </c>
    </row>
    <row r="25" spans="1:29">
      <c r="A25" s="153" t="s">
        <v>17</v>
      </c>
      <c r="B25" s="137">
        <f>'Resid Cust Fcst '!$BF26*'Resid TSM UC Adj'!J25</f>
        <v>0</v>
      </c>
      <c r="C25" s="23">
        <f>'Resid Cust Fcst '!$BF26*'Resid TSM UC Adj'!K25</f>
        <v>0</v>
      </c>
      <c r="D25" s="23">
        <f>'Resid Cust Fcst '!$BF26*'Resid TSM UC Adj'!L25</f>
        <v>0</v>
      </c>
      <c r="E25" s="45">
        <f>IF(SUM(B25:D25)=0,0,SUM(B25:D25)/'Resid Cust Fcst '!BF26)</f>
        <v>0</v>
      </c>
      <c r="F25" s="137">
        <f>'Resid Cust Fcst '!$BG26*'Resid TSM UC Adj'!J25</f>
        <v>0</v>
      </c>
      <c r="G25" s="23">
        <f>'Resid Cust Fcst '!$BG26*'Resid TSM UC Adj'!K25</f>
        <v>0</v>
      </c>
      <c r="H25" s="23">
        <f>'Resid Cust Fcst '!$BG26*'Resid TSM UC Adj'!L25</f>
        <v>0</v>
      </c>
      <c r="I25" s="45">
        <f>IF(SUM(F25:H25)=0,0,SUM(F25:H25)/'Resid Cust Fcst '!BG26)</f>
        <v>0</v>
      </c>
      <c r="J25" s="137">
        <f>'Resid Cust Fcst '!$BH26*'Resid TSM UC Adj'!J25</f>
        <v>0</v>
      </c>
      <c r="K25" s="23">
        <f>'Resid Cust Fcst '!$BH26*'Resid TSM UC Adj'!K25</f>
        <v>0</v>
      </c>
      <c r="L25" s="23">
        <f>'Resid Cust Fcst '!$BH26*'Resid TSM UC Adj'!L25</f>
        <v>0</v>
      </c>
      <c r="M25" s="45">
        <f>IF(SUM(J25:L25)=0,0,SUM(J25:L25)/'Resid Cust Fcst '!BH26)</f>
        <v>0</v>
      </c>
      <c r="N25" s="137">
        <f>'Resid Cust Fcst '!$BI26*'Resid TSM UC Adj'!N25</f>
        <v>0</v>
      </c>
      <c r="O25" s="23">
        <f>'Resid Cust Fcst '!$BI26*'Resid TSM UC Adj'!O25</f>
        <v>0</v>
      </c>
      <c r="P25" s="23">
        <f>'Resid Cust Fcst '!$BI26*'Resid TSM UC Adj'!P25</f>
        <v>0</v>
      </c>
      <c r="Q25" s="45">
        <f>IF(SUM(N25:P25)=0,0,SUM(N25:P25)/'Resid Cust Fcst '!BI26)</f>
        <v>0</v>
      </c>
      <c r="R25" s="137">
        <f t="shared" si="2"/>
        <v>0</v>
      </c>
      <c r="S25" s="23">
        <f t="shared" si="2"/>
        <v>0</v>
      </c>
      <c r="T25" s="23">
        <f t="shared" si="2"/>
        <v>0</v>
      </c>
      <c r="U25" s="45">
        <f>IF(SUM(R25:T25)=0,0,SUM(R25:T25)/'Resid Cust Fcst '!BJ26)</f>
        <v>0</v>
      </c>
      <c r="V25" s="137">
        <f>'Resid Cust Fcst '!$BK26*'Resid TSM UC Adj'!R25</f>
        <v>0</v>
      </c>
      <c r="W25" s="23">
        <f>'Resid Cust Fcst '!$BK26*'Resid TSM UC Adj'!S25</f>
        <v>0</v>
      </c>
      <c r="X25" s="23">
        <f>'Resid Cust Fcst '!$BK26*'Resid TSM UC Adj'!T25</f>
        <v>0</v>
      </c>
      <c r="Y25" s="45">
        <f>IF(SUM(V25:X25)=0,0,SUM(V25:X25)/'Resid Cust Fcst '!BK26)</f>
        <v>0</v>
      </c>
      <c r="Z25" s="137">
        <f t="shared" si="3"/>
        <v>0</v>
      </c>
      <c r="AA25" s="23">
        <f t="shared" si="3"/>
        <v>0</v>
      </c>
      <c r="AB25" s="23">
        <f t="shared" si="3"/>
        <v>0</v>
      </c>
      <c r="AC25" s="45">
        <f>IF(SUM(Z25:AB25)=0,0,SUM(Z25:AB25)/'Resid Cust Fcst '!BL26)</f>
        <v>0</v>
      </c>
    </row>
    <row r="26" spans="1:29">
      <c r="A26" s="153" t="s">
        <v>18</v>
      </c>
      <c r="B26" s="137">
        <f>'Resid Cust Fcst '!$BF27*'Resid TSM UC Adj'!J26</f>
        <v>0</v>
      </c>
      <c r="C26" s="23">
        <f>'Resid Cust Fcst '!$BF27*'Resid TSM UC Adj'!K26</f>
        <v>0</v>
      </c>
      <c r="D26" s="23">
        <f>'Resid Cust Fcst '!$BF27*'Resid TSM UC Adj'!L26</f>
        <v>0</v>
      </c>
      <c r="E26" s="45">
        <f>IF(SUM(B26:D26)=0,0,SUM(B26:D26)/'Resid Cust Fcst '!BF27)</f>
        <v>0</v>
      </c>
      <c r="F26" s="137">
        <f>'Resid Cust Fcst '!$BG27*'Resid TSM UC Adj'!J26</f>
        <v>0</v>
      </c>
      <c r="G26" s="23">
        <f>'Resid Cust Fcst '!$BG27*'Resid TSM UC Adj'!K26</f>
        <v>0</v>
      </c>
      <c r="H26" s="23">
        <f>'Resid Cust Fcst '!$BG27*'Resid TSM UC Adj'!L26</f>
        <v>0</v>
      </c>
      <c r="I26" s="45">
        <f>IF(SUM(F26:H26)=0,0,SUM(F26:H26)/'Resid Cust Fcst '!BG27)</f>
        <v>0</v>
      </c>
      <c r="J26" s="137">
        <f>'Resid Cust Fcst '!$BH27*'Resid TSM UC Adj'!J26</f>
        <v>0</v>
      </c>
      <c r="K26" s="23">
        <f>'Resid Cust Fcst '!$BH27*'Resid TSM UC Adj'!K26</f>
        <v>0</v>
      </c>
      <c r="L26" s="23">
        <f>'Resid Cust Fcst '!$BH27*'Resid TSM UC Adj'!L26</f>
        <v>0</v>
      </c>
      <c r="M26" s="45">
        <f>IF(SUM(J26:L26)=0,0,SUM(J26:L26)/'Resid Cust Fcst '!BH27)</f>
        <v>0</v>
      </c>
      <c r="N26" s="137">
        <f>'Resid Cust Fcst '!$BI27*'Resid TSM UC Adj'!N26</f>
        <v>0</v>
      </c>
      <c r="O26" s="23">
        <f>'Resid Cust Fcst '!$BI27*'Resid TSM UC Adj'!O26</f>
        <v>0</v>
      </c>
      <c r="P26" s="23">
        <f>'Resid Cust Fcst '!$BI27*'Resid TSM UC Adj'!P26</f>
        <v>0</v>
      </c>
      <c r="Q26" s="45">
        <f>IF(SUM(N26:P26)=0,0,SUM(N26:P26)/'Resid Cust Fcst '!BI27)</f>
        <v>0</v>
      </c>
      <c r="R26" s="137">
        <f t="shared" si="2"/>
        <v>0</v>
      </c>
      <c r="S26" s="23">
        <f t="shared" si="2"/>
        <v>0</v>
      </c>
      <c r="T26" s="23">
        <f t="shared" si="2"/>
        <v>0</v>
      </c>
      <c r="U26" s="45">
        <f>IF(SUM(R26:T26)=0,0,SUM(R26:T26)/'Resid Cust Fcst '!BJ27)</f>
        <v>0</v>
      </c>
      <c r="V26" s="137">
        <f>'Resid Cust Fcst '!$BK27*'Resid TSM UC Adj'!R26</f>
        <v>0</v>
      </c>
      <c r="W26" s="23">
        <f>'Resid Cust Fcst '!$BK27*'Resid TSM UC Adj'!S26</f>
        <v>0</v>
      </c>
      <c r="X26" s="23">
        <f>'Resid Cust Fcst '!$BK27*'Resid TSM UC Adj'!T26</f>
        <v>0</v>
      </c>
      <c r="Y26" s="45">
        <f>IF(SUM(V26:X26)=0,0,SUM(V26:X26)/'Resid Cust Fcst '!BK27)</f>
        <v>0</v>
      </c>
      <c r="Z26" s="137">
        <f t="shared" si="3"/>
        <v>0</v>
      </c>
      <c r="AA26" s="23">
        <f t="shared" si="3"/>
        <v>0</v>
      </c>
      <c r="AB26" s="23">
        <f t="shared" si="3"/>
        <v>0</v>
      </c>
      <c r="AC26" s="45">
        <f>IF(SUM(Z26:AB26)=0,0,SUM(Z26:AB26)/'Resid Cust Fcst '!BL27)</f>
        <v>0</v>
      </c>
    </row>
    <row r="27" spans="1:29">
      <c r="A27" s="153" t="s">
        <v>19</v>
      </c>
      <c r="B27" s="137">
        <f>'Resid Cust Fcst '!$BF28*'Resid TSM UC Adj'!J27</f>
        <v>0</v>
      </c>
      <c r="C27" s="23">
        <f>'Resid Cust Fcst '!$BF28*'Resid TSM UC Adj'!K27</f>
        <v>0</v>
      </c>
      <c r="D27" s="23">
        <f>'Resid Cust Fcst '!$BF28*'Resid TSM UC Adj'!L27</f>
        <v>0</v>
      </c>
      <c r="E27" s="45">
        <f>IF(SUM(B27:D27)=0,0,SUM(B27:D27)/'Resid Cust Fcst '!BF28)</f>
        <v>0</v>
      </c>
      <c r="F27" s="137">
        <f>'Resid Cust Fcst '!$BG28*'Resid TSM UC Adj'!J27</f>
        <v>0</v>
      </c>
      <c r="G27" s="23">
        <f>'Resid Cust Fcst '!$BG28*'Resid TSM UC Adj'!K27</f>
        <v>0</v>
      </c>
      <c r="H27" s="23">
        <f>'Resid Cust Fcst '!$BG28*'Resid TSM UC Adj'!L27</f>
        <v>0</v>
      </c>
      <c r="I27" s="45">
        <f>IF(SUM(F27:H27)=0,0,SUM(F27:H27)/'Resid Cust Fcst '!BG28)</f>
        <v>0</v>
      </c>
      <c r="J27" s="137">
        <f>'Resid Cust Fcst '!$BH28*'Resid TSM UC Adj'!J27</f>
        <v>0</v>
      </c>
      <c r="K27" s="23">
        <f>'Resid Cust Fcst '!$BH28*'Resid TSM UC Adj'!K27</f>
        <v>0</v>
      </c>
      <c r="L27" s="23">
        <f>'Resid Cust Fcst '!$BH28*'Resid TSM UC Adj'!L27</f>
        <v>0</v>
      </c>
      <c r="M27" s="45">
        <f>IF(SUM(J27:L27)=0,0,SUM(J27:L27)/'Resid Cust Fcst '!BH28)</f>
        <v>0</v>
      </c>
      <c r="N27" s="137">
        <f>'Resid Cust Fcst '!$BI28*'Resid TSM UC Adj'!N27</f>
        <v>0</v>
      </c>
      <c r="O27" s="23">
        <f>'Resid Cust Fcst '!$BI28*'Resid TSM UC Adj'!O27</f>
        <v>0</v>
      </c>
      <c r="P27" s="23">
        <f>'Resid Cust Fcst '!$BI28*'Resid TSM UC Adj'!P27</f>
        <v>0</v>
      </c>
      <c r="Q27" s="45">
        <f>IF(SUM(N27:P27)=0,0,SUM(N27:P27)/'Resid Cust Fcst '!BI28)</f>
        <v>0</v>
      </c>
      <c r="R27" s="137">
        <f t="shared" si="2"/>
        <v>0</v>
      </c>
      <c r="S27" s="23">
        <f t="shared" si="2"/>
        <v>0</v>
      </c>
      <c r="T27" s="23">
        <f t="shared" si="2"/>
        <v>0</v>
      </c>
      <c r="U27" s="45">
        <f>IF(SUM(R27:T27)=0,0,SUM(R27:T27)/'Resid Cust Fcst '!BJ28)</f>
        <v>0</v>
      </c>
      <c r="V27" s="137">
        <f>'Resid Cust Fcst '!$BK28*'Resid TSM UC Adj'!R27</f>
        <v>0</v>
      </c>
      <c r="W27" s="23">
        <f>'Resid Cust Fcst '!$BK28*'Resid TSM UC Adj'!S27</f>
        <v>0</v>
      </c>
      <c r="X27" s="23">
        <f>'Resid Cust Fcst '!$BK28*'Resid TSM UC Adj'!T27</f>
        <v>0</v>
      </c>
      <c r="Y27" s="45">
        <f>IF(SUM(V27:X27)=0,0,SUM(V27:X27)/'Resid Cust Fcst '!BK28)</f>
        <v>0</v>
      </c>
      <c r="Z27" s="137">
        <f t="shared" si="3"/>
        <v>0</v>
      </c>
      <c r="AA27" s="23">
        <f t="shared" si="3"/>
        <v>0</v>
      </c>
      <c r="AB27" s="23">
        <f t="shared" si="3"/>
        <v>0</v>
      </c>
      <c r="AC27" s="45">
        <f>IF(SUM(Z27:AB27)=0,0,SUM(Z27:AB27)/'Resid Cust Fcst '!BL28)</f>
        <v>0</v>
      </c>
    </row>
    <row r="28" spans="1:29">
      <c r="A28" s="153" t="s">
        <v>20</v>
      </c>
      <c r="B28" s="137">
        <f>'Resid Cust Fcst '!$BF29*'Resid TSM UC Adj'!J28</f>
        <v>0</v>
      </c>
      <c r="C28" s="23">
        <f>'Resid Cust Fcst '!$BF29*'Resid TSM UC Adj'!K28</f>
        <v>0</v>
      </c>
      <c r="D28" s="23">
        <f>'Resid Cust Fcst '!$BF29*'Resid TSM UC Adj'!L28</f>
        <v>0</v>
      </c>
      <c r="E28" s="45">
        <f>IF(SUM(B28:D28)=0,0,SUM(B28:D28)/'Resid Cust Fcst '!BF29)</f>
        <v>0</v>
      </c>
      <c r="F28" s="137">
        <f>'Resid Cust Fcst '!$BG29*'Resid TSM UC Adj'!J28</f>
        <v>0</v>
      </c>
      <c r="G28" s="23">
        <f>'Resid Cust Fcst '!$BG29*'Resid TSM UC Adj'!K28</f>
        <v>0</v>
      </c>
      <c r="H28" s="23">
        <f>'Resid Cust Fcst '!$BG29*'Resid TSM UC Adj'!L28</f>
        <v>0</v>
      </c>
      <c r="I28" s="45">
        <f>IF(SUM(F28:H28)=0,0,SUM(F28:H28)/'Resid Cust Fcst '!BG29)</f>
        <v>0</v>
      </c>
      <c r="J28" s="137">
        <f>'Resid Cust Fcst '!$BH29*'Resid TSM UC Adj'!J28</f>
        <v>0</v>
      </c>
      <c r="K28" s="23">
        <f>'Resid Cust Fcst '!$BH29*'Resid TSM UC Adj'!K28</f>
        <v>0</v>
      </c>
      <c r="L28" s="23">
        <f>'Resid Cust Fcst '!$BH29*'Resid TSM UC Adj'!L28</f>
        <v>0</v>
      </c>
      <c r="M28" s="45">
        <f>IF(SUM(J28:L28)=0,0,SUM(J28:L28)/'Resid Cust Fcst '!BH29)</f>
        <v>0</v>
      </c>
      <c r="N28" s="137">
        <f>'Resid Cust Fcst '!$BI29*'Resid TSM UC Adj'!N28</f>
        <v>0</v>
      </c>
      <c r="O28" s="23">
        <f>'Resid Cust Fcst '!$BI29*'Resid TSM UC Adj'!O28</f>
        <v>0</v>
      </c>
      <c r="P28" s="23">
        <f>'Resid Cust Fcst '!$BI29*'Resid TSM UC Adj'!P28</f>
        <v>0</v>
      </c>
      <c r="Q28" s="45">
        <f>IF(SUM(N28:P28)=0,0,SUM(N28:P28)/'Resid Cust Fcst '!BI29)</f>
        <v>0</v>
      </c>
      <c r="R28" s="137">
        <f t="shared" si="2"/>
        <v>0</v>
      </c>
      <c r="S28" s="23">
        <f t="shared" si="2"/>
        <v>0</v>
      </c>
      <c r="T28" s="23">
        <f t="shared" si="2"/>
        <v>0</v>
      </c>
      <c r="U28" s="45">
        <f>IF(SUM(R28:T28)=0,0,SUM(R28:T28)/'Resid Cust Fcst '!BJ29)</f>
        <v>0</v>
      </c>
      <c r="V28" s="137">
        <f>'Resid Cust Fcst '!$BK29*'Resid TSM UC Adj'!R28</f>
        <v>0</v>
      </c>
      <c r="W28" s="23">
        <f>'Resid Cust Fcst '!$BK29*'Resid TSM UC Adj'!S28</f>
        <v>0</v>
      </c>
      <c r="X28" s="23">
        <f>'Resid Cust Fcst '!$BK29*'Resid TSM UC Adj'!T28</f>
        <v>0</v>
      </c>
      <c r="Y28" s="45">
        <f>IF(SUM(V28:X28)=0,0,SUM(V28:X28)/'Resid Cust Fcst '!BK29)</f>
        <v>0</v>
      </c>
      <c r="Z28" s="137">
        <f t="shared" si="3"/>
        <v>0</v>
      </c>
      <c r="AA28" s="23">
        <f t="shared" si="3"/>
        <v>0</v>
      </c>
      <c r="AB28" s="23">
        <f t="shared" si="3"/>
        <v>0</v>
      </c>
      <c r="AC28" s="45">
        <f>IF(SUM(Z28:AB28)=0,0,SUM(Z28:AB28)/'Resid Cust Fcst '!BL29)</f>
        <v>0</v>
      </c>
    </row>
    <row r="29" spans="1:29">
      <c r="A29" s="153" t="s">
        <v>21</v>
      </c>
      <c r="B29" s="137">
        <f>'Resid Cust Fcst '!$BF30*'Resid TSM UC Adj'!J29</f>
        <v>0</v>
      </c>
      <c r="C29" s="23">
        <f>'Resid Cust Fcst '!$BF30*'Resid TSM UC Adj'!K29</f>
        <v>0</v>
      </c>
      <c r="D29" s="23">
        <f>'Resid Cust Fcst '!$BF30*'Resid TSM UC Adj'!L29</f>
        <v>0</v>
      </c>
      <c r="E29" s="45">
        <f>IF(SUM(B29:D29)=0,0,SUM(B29:D29)/'Resid Cust Fcst '!BF30)</f>
        <v>0</v>
      </c>
      <c r="F29" s="137">
        <f>'Resid Cust Fcst '!$BG30*'Resid TSM UC Adj'!J29</f>
        <v>0</v>
      </c>
      <c r="G29" s="23">
        <f>'Resid Cust Fcst '!$BG30*'Resid TSM UC Adj'!K29</f>
        <v>0</v>
      </c>
      <c r="H29" s="23">
        <f>'Resid Cust Fcst '!$BG30*'Resid TSM UC Adj'!L29</f>
        <v>0</v>
      </c>
      <c r="I29" s="45">
        <f>IF(SUM(F29:H29)=0,0,SUM(F29:H29)/'Resid Cust Fcst '!BG30)</f>
        <v>0</v>
      </c>
      <c r="J29" s="137">
        <f>'Resid Cust Fcst '!$BH30*'Resid TSM UC Adj'!J29</f>
        <v>0</v>
      </c>
      <c r="K29" s="23">
        <f>'Resid Cust Fcst '!$BH30*'Resid TSM UC Adj'!K29</f>
        <v>0</v>
      </c>
      <c r="L29" s="23">
        <f>'Resid Cust Fcst '!$BH30*'Resid TSM UC Adj'!L29</f>
        <v>0</v>
      </c>
      <c r="M29" s="45">
        <f>IF(SUM(J29:L29)=0,0,SUM(J29:L29)/'Resid Cust Fcst '!BH30)</f>
        <v>0</v>
      </c>
      <c r="N29" s="137">
        <f>'Resid Cust Fcst '!$BI30*'Resid TSM UC Adj'!N29</f>
        <v>0</v>
      </c>
      <c r="O29" s="23">
        <f>'Resid Cust Fcst '!$BI30*'Resid TSM UC Adj'!O29</f>
        <v>0</v>
      </c>
      <c r="P29" s="23">
        <f>'Resid Cust Fcst '!$BI30*'Resid TSM UC Adj'!P29</f>
        <v>0</v>
      </c>
      <c r="Q29" s="45">
        <f>IF(SUM(N29:P29)=0,0,SUM(N29:P29)/'Resid Cust Fcst '!BI30)</f>
        <v>0</v>
      </c>
      <c r="R29" s="137">
        <f t="shared" si="2"/>
        <v>0</v>
      </c>
      <c r="S29" s="23">
        <f t="shared" si="2"/>
        <v>0</v>
      </c>
      <c r="T29" s="23">
        <f t="shared" si="2"/>
        <v>0</v>
      </c>
      <c r="U29" s="45">
        <f>IF(SUM(R29:T29)=0,0,SUM(R29:T29)/'Resid Cust Fcst '!BJ30)</f>
        <v>0</v>
      </c>
      <c r="V29" s="137">
        <f>'Resid Cust Fcst '!$BK30*'Resid TSM UC Adj'!R29</f>
        <v>0</v>
      </c>
      <c r="W29" s="23">
        <f>'Resid Cust Fcst '!$BK30*'Resid TSM UC Adj'!S29</f>
        <v>0</v>
      </c>
      <c r="X29" s="23">
        <f>'Resid Cust Fcst '!$BK30*'Resid TSM UC Adj'!T29</f>
        <v>0</v>
      </c>
      <c r="Y29" s="45">
        <f>IF(SUM(V29:X29)=0,0,SUM(V29:X29)/'Resid Cust Fcst '!BK30)</f>
        <v>0</v>
      </c>
      <c r="Z29" s="137">
        <f t="shared" si="3"/>
        <v>0</v>
      </c>
      <c r="AA29" s="23">
        <f t="shared" si="3"/>
        <v>0</v>
      </c>
      <c r="AB29" s="23">
        <f t="shared" si="3"/>
        <v>0</v>
      </c>
      <c r="AC29" s="45">
        <f>IF(SUM(Z29:AB29)=0,0,SUM(Z29:AB29)/'Resid Cust Fcst '!BL30)</f>
        <v>0</v>
      </c>
    </row>
    <row r="30" spans="1:29">
      <c r="A30" s="153" t="s">
        <v>22</v>
      </c>
      <c r="B30" s="137">
        <f>'Resid Cust Fcst '!$BF31*'Resid TSM UC Adj'!J30</f>
        <v>0</v>
      </c>
      <c r="C30" s="23">
        <f>'Resid Cust Fcst '!$BF31*'Resid TSM UC Adj'!K30</f>
        <v>0</v>
      </c>
      <c r="D30" s="23">
        <f>'Resid Cust Fcst '!$BF31*'Resid TSM UC Adj'!L30</f>
        <v>0</v>
      </c>
      <c r="E30" s="45">
        <f>IF(SUM(B30:D30)=0,0,SUM(B30:D30)/'Resid Cust Fcst '!BF31)</f>
        <v>0</v>
      </c>
      <c r="F30" s="137">
        <f>'Resid Cust Fcst '!$BG31*'Resid TSM UC Adj'!J30</f>
        <v>0</v>
      </c>
      <c r="G30" s="23">
        <f>'Resid Cust Fcst '!$BG31*'Resid TSM UC Adj'!K30</f>
        <v>0</v>
      </c>
      <c r="H30" s="23">
        <f>'Resid Cust Fcst '!$BG31*'Resid TSM UC Adj'!L30</f>
        <v>0</v>
      </c>
      <c r="I30" s="45">
        <f>IF(SUM(F30:H30)=0,0,SUM(F30:H30)/'Resid Cust Fcst '!BG31)</f>
        <v>0</v>
      </c>
      <c r="J30" s="137">
        <f>'Resid Cust Fcst '!$BH31*'Resid TSM UC Adj'!J30</f>
        <v>0</v>
      </c>
      <c r="K30" s="23">
        <f>'Resid Cust Fcst '!$BH31*'Resid TSM UC Adj'!K30</f>
        <v>0</v>
      </c>
      <c r="L30" s="23">
        <f>'Resid Cust Fcst '!$BH31*'Resid TSM UC Adj'!L30</f>
        <v>0</v>
      </c>
      <c r="M30" s="45">
        <f>IF(SUM(J30:L30)=0,0,SUM(J30:L30)/'Resid Cust Fcst '!BH31)</f>
        <v>0</v>
      </c>
      <c r="N30" s="137">
        <f>'Resid Cust Fcst '!$BI31*'Resid TSM UC Adj'!N30</f>
        <v>0</v>
      </c>
      <c r="O30" s="23">
        <f>'Resid Cust Fcst '!$BI31*'Resid TSM UC Adj'!O30</f>
        <v>0</v>
      </c>
      <c r="P30" s="23">
        <f>'Resid Cust Fcst '!$BI31*'Resid TSM UC Adj'!P30</f>
        <v>0</v>
      </c>
      <c r="Q30" s="45">
        <f>IF(SUM(N30:P30)=0,0,SUM(N30:P30)/'Resid Cust Fcst '!BI31)</f>
        <v>0</v>
      </c>
      <c r="R30" s="137">
        <f t="shared" si="2"/>
        <v>0</v>
      </c>
      <c r="S30" s="23">
        <f t="shared" si="2"/>
        <v>0</v>
      </c>
      <c r="T30" s="23">
        <f t="shared" si="2"/>
        <v>0</v>
      </c>
      <c r="U30" s="45">
        <f>IF(SUM(R30:T30)=0,0,SUM(R30:T30)/'Resid Cust Fcst '!BJ31)</f>
        <v>0</v>
      </c>
      <c r="V30" s="137">
        <f>'Resid Cust Fcst '!$BK31*'Resid TSM UC Adj'!R30</f>
        <v>0</v>
      </c>
      <c r="W30" s="23">
        <f>'Resid Cust Fcst '!$BK31*'Resid TSM UC Adj'!S30</f>
        <v>0</v>
      </c>
      <c r="X30" s="23">
        <f>'Resid Cust Fcst '!$BK31*'Resid TSM UC Adj'!T30</f>
        <v>0</v>
      </c>
      <c r="Y30" s="45">
        <f>IF(SUM(V30:X30)=0,0,SUM(V30:X30)/'Resid Cust Fcst '!BK31)</f>
        <v>0</v>
      </c>
      <c r="Z30" s="137">
        <f t="shared" si="3"/>
        <v>0</v>
      </c>
      <c r="AA30" s="23">
        <f t="shared" si="3"/>
        <v>0</v>
      </c>
      <c r="AB30" s="23">
        <f t="shared" si="3"/>
        <v>0</v>
      </c>
      <c r="AC30" s="45">
        <f>IF(SUM(Z30:AB30)=0,0,SUM(Z30:AB30)/'Resid Cust Fcst '!BL31)</f>
        <v>0</v>
      </c>
    </row>
    <row r="31" spans="1:29">
      <c r="A31" s="153" t="s">
        <v>23</v>
      </c>
      <c r="B31" s="137">
        <f>'Resid Cust Fcst '!$BF32*'Resid TSM UC Adj'!J31</f>
        <v>0</v>
      </c>
      <c r="C31" s="23">
        <f>'Resid Cust Fcst '!$BF32*'Resid TSM UC Adj'!K31</f>
        <v>0</v>
      </c>
      <c r="D31" s="23">
        <f>'Resid Cust Fcst '!$BF32*'Resid TSM UC Adj'!L31</f>
        <v>0</v>
      </c>
      <c r="E31" s="45">
        <f>IF(SUM(B31:D31)=0,0,SUM(B31:D31)/'Resid Cust Fcst '!BF32)</f>
        <v>0</v>
      </c>
      <c r="F31" s="137">
        <f>'Resid Cust Fcst '!$BG32*'Resid TSM UC Adj'!J31</f>
        <v>0</v>
      </c>
      <c r="G31" s="23">
        <f>'Resid Cust Fcst '!$BG32*'Resid TSM UC Adj'!K31</f>
        <v>0</v>
      </c>
      <c r="H31" s="23">
        <f>'Resid Cust Fcst '!$BG32*'Resid TSM UC Adj'!L31</f>
        <v>0</v>
      </c>
      <c r="I31" s="45">
        <f>IF(SUM(F31:H31)=0,0,SUM(F31:H31)/'Resid Cust Fcst '!BG32)</f>
        <v>0</v>
      </c>
      <c r="J31" s="137">
        <f>'Resid Cust Fcst '!$BH32*'Resid TSM UC Adj'!J31</f>
        <v>0</v>
      </c>
      <c r="K31" s="23">
        <f>'Resid Cust Fcst '!$BH32*'Resid TSM UC Adj'!K31</f>
        <v>0</v>
      </c>
      <c r="L31" s="23">
        <f>'Resid Cust Fcst '!$BH32*'Resid TSM UC Adj'!L31</f>
        <v>0</v>
      </c>
      <c r="M31" s="45">
        <f>IF(SUM(J31:L31)=0,0,SUM(J31:L31)/'Resid Cust Fcst '!BH32)</f>
        <v>0</v>
      </c>
      <c r="N31" s="137">
        <f>'Resid Cust Fcst '!$BI32*'Resid TSM UC Adj'!N31</f>
        <v>0</v>
      </c>
      <c r="O31" s="23">
        <f>'Resid Cust Fcst '!$BI32*'Resid TSM UC Adj'!O31</f>
        <v>0</v>
      </c>
      <c r="P31" s="23">
        <f>'Resid Cust Fcst '!$BI32*'Resid TSM UC Adj'!P31</f>
        <v>0</v>
      </c>
      <c r="Q31" s="45">
        <f>IF(SUM(N31:P31)=0,0,SUM(N31:P31)/'Resid Cust Fcst '!BI32)</f>
        <v>0</v>
      </c>
      <c r="R31" s="137">
        <f t="shared" si="2"/>
        <v>0</v>
      </c>
      <c r="S31" s="23">
        <f t="shared" si="2"/>
        <v>0</v>
      </c>
      <c r="T31" s="23">
        <f t="shared" si="2"/>
        <v>0</v>
      </c>
      <c r="U31" s="45">
        <f>IF(SUM(R31:T31)=0,0,SUM(R31:T31)/'Resid Cust Fcst '!BJ32)</f>
        <v>0</v>
      </c>
      <c r="V31" s="137">
        <f>'Resid Cust Fcst '!$BK32*'Resid TSM UC Adj'!R31</f>
        <v>0</v>
      </c>
      <c r="W31" s="23">
        <f>'Resid Cust Fcst '!$BK32*'Resid TSM UC Adj'!S31</f>
        <v>0</v>
      </c>
      <c r="X31" s="23">
        <f>'Resid Cust Fcst '!$BK32*'Resid TSM UC Adj'!T31</f>
        <v>0</v>
      </c>
      <c r="Y31" s="45">
        <f>IF(SUM(V31:X31)=0,0,SUM(V31:X31)/'Resid Cust Fcst '!BK32)</f>
        <v>0</v>
      </c>
      <c r="Z31" s="137">
        <f t="shared" si="3"/>
        <v>0</v>
      </c>
      <c r="AA31" s="23">
        <f t="shared" si="3"/>
        <v>0</v>
      </c>
      <c r="AB31" s="23">
        <f t="shared" si="3"/>
        <v>0</v>
      </c>
      <c r="AC31" s="45">
        <f>IF(SUM(Z31:AB31)=0,0,SUM(Z31:AB31)/'Resid Cust Fcst '!BL32)</f>
        <v>0</v>
      </c>
    </row>
    <row r="32" spans="1:29">
      <c r="A32" s="153" t="s">
        <v>24</v>
      </c>
      <c r="B32" s="137">
        <f>'Resid Cust Fcst '!$BF33*'Resid TSM UC Adj'!J32</f>
        <v>0</v>
      </c>
      <c r="C32" s="23">
        <f>'Resid Cust Fcst '!$BF33*'Resid TSM UC Adj'!K32</f>
        <v>0</v>
      </c>
      <c r="D32" s="23">
        <f>'Resid Cust Fcst '!$BF33*'Resid TSM UC Adj'!L32</f>
        <v>0</v>
      </c>
      <c r="E32" s="45">
        <f>IF(SUM(B32:D32)=0,0,SUM(B32:D32)/'Resid Cust Fcst '!BF33)</f>
        <v>0</v>
      </c>
      <c r="F32" s="137">
        <f>'Resid Cust Fcst '!$BG33*'Resid TSM UC Adj'!J32</f>
        <v>0</v>
      </c>
      <c r="G32" s="23">
        <f>'Resid Cust Fcst '!$BG33*'Resid TSM UC Adj'!K32</f>
        <v>0</v>
      </c>
      <c r="H32" s="23">
        <f>'Resid Cust Fcst '!$BG33*'Resid TSM UC Adj'!L32</f>
        <v>0</v>
      </c>
      <c r="I32" s="45">
        <f>IF(SUM(F32:H32)=0,0,SUM(F32:H32)/'Resid Cust Fcst '!BG33)</f>
        <v>0</v>
      </c>
      <c r="J32" s="137">
        <f>'Resid Cust Fcst '!$BH33*'Resid TSM UC Adj'!J32</f>
        <v>0</v>
      </c>
      <c r="K32" s="23">
        <f>'Resid Cust Fcst '!$BH33*'Resid TSM UC Adj'!K32</f>
        <v>0</v>
      </c>
      <c r="L32" s="23">
        <f>'Resid Cust Fcst '!$BH33*'Resid TSM UC Adj'!L32</f>
        <v>0</v>
      </c>
      <c r="M32" s="45">
        <f>IF(SUM(J32:L32)=0,0,SUM(J32:L32)/'Resid Cust Fcst '!BH33)</f>
        <v>0</v>
      </c>
      <c r="N32" s="137">
        <f>'Resid Cust Fcst '!$BI33*'Resid TSM UC Adj'!N32</f>
        <v>0</v>
      </c>
      <c r="O32" s="23">
        <f>'Resid Cust Fcst '!$BI33*'Resid TSM UC Adj'!O32</f>
        <v>0</v>
      </c>
      <c r="P32" s="23">
        <f>'Resid Cust Fcst '!$BI33*'Resid TSM UC Adj'!P32</f>
        <v>0</v>
      </c>
      <c r="Q32" s="45">
        <f>IF(SUM(N32:P32)=0,0,SUM(N32:P32)/'Resid Cust Fcst '!BI33)</f>
        <v>0</v>
      </c>
      <c r="R32" s="137">
        <f t="shared" si="2"/>
        <v>0</v>
      </c>
      <c r="S32" s="23">
        <f t="shared" si="2"/>
        <v>0</v>
      </c>
      <c r="T32" s="23">
        <f t="shared" si="2"/>
        <v>0</v>
      </c>
      <c r="U32" s="45">
        <f>IF(SUM(R32:T32)=0,0,SUM(R32:T32)/'Resid Cust Fcst '!BJ33)</f>
        <v>0</v>
      </c>
      <c r="V32" s="137">
        <f>'Resid Cust Fcst '!$BK33*'Resid TSM UC Adj'!R32</f>
        <v>0</v>
      </c>
      <c r="W32" s="23">
        <f>'Resid Cust Fcst '!$BK33*'Resid TSM UC Adj'!S32</f>
        <v>0</v>
      </c>
      <c r="X32" s="23">
        <f>'Resid Cust Fcst '!$BK33*'Resid TSM UC Adj'!T32</f>
        <v>0</v>
      </c>
      <c r="Y32" s="45">
        <f>IF(SUM(V32:X32)=0,0,SUM(V32:X32)/'Resid Cust Fcst '!BK33)</f>
        <v>0</v>
      </c>
      <c r="Z32" s="137">
        <f t="shared" si="3"/>
        <v>0</v>
      </c>
      <c r="AA32" s="23">
        <f t="shared" si="3"/>
        <v>0</v>
      </c>
      <c r="AB32" s="23">
        <f t="shared" si="3"/>
        <v>0</v>
      </c>
      <c r="AC32" s="45">
        <f>IF(SUM(Z32:AB32)=0,0,SUM(Z32:AB32)/'Resid Cust Fcst '!BL33)</f>
        <v>0</v>
      </c>
    </row>
    <row r="33" spans="1:29">
      <c r="A33" s="153" t="s">
        <v>25</v>
      </c>
      <c r="B33" s="137">
        <f>'Resid Cust Fcst '!$BF34*'Resid TSM UC Adj'!J33</f>
        <v>0</v>
      </c>
      <c r="C33" s="23">
        <f>'Resid Cust Fcst '!$BF34*'Resid TSM UC Adj'!K33</f>
        <v>0</v>
      </c>
      <c r="D33" s="23">
        <f>'Resid Cust Fcst '!$BF34*'Resid TSM UC Adj'!L33</f>
        <v>0</v>
      </c>
      <c r="E33" s="45">
        <f>IF(SUM(B33:D33)=0,0,SUM(B33:D33)/'Resid Cust Fcst '!BF34)</f>
        <v>0</v>
      </c>
      <c r="F33" s="137">
        <f>'Resid Cust Fcst '!$BG34*'Resid TSM UC Adj'!J33</f>
        <v>0</v>
      </c>
      <c r="G33" s="23">
        <f>'Resid Cust Fcst '!$BG34*'Resid TSM UC Adj'!K33</f>
        <v>0</v>
      </c>
      <c r="H33" s="23">
        <f>'Resid Cust Fcst '!$BG34*'Resid TSM UC Adj'!L33</f>
        <v>0</v>
      </c>
      <c r="I33" s="45">
        <f>IF(SUM(F33:H33)=0,0,SUM(F33:H33)/'Resid Cust Fcst '!BG34)</f>
        <v>0</v>
      </c>
      <c r="J33" s="137">
        <f>'Resid Cust Fcst '!$BH34*'Resid TSM UC Adj'!J33</f>
        <v>0</v>
      </c>
      <c r="K33" s="23">
        <f>'Resid Cust Fcst '!$BH34*'Resid TSM UC Adj'!K33</f>
        <v>0</v>
      </c>
      <c r="L33" s="23">
        <f>'Resid Cust Fcst '!$BH34*'Resid TSM UC Adj'!L33</f>
        <v>0</v>
      </c>
      <c r="M33" s="45">
        <f>IF(SUM(J33:L33)=0,0,SUM(J33:L33)/'Resid Cust Fcst '!BH34)</f>
        <v>0</v>
      </c>
      <c r="N33" s="137">
        <f>'Resid Cust Fcst '!$BI34*'Resid TSM UC Adj'!N33</f>
        <v>0</v>
      </c>
      <c r="O33" s="23">
        <f>'Resid Cust Fcst '!$BI34*'Resid TSM UC Adj'!O33</f>
        <v>0</v>
      </c>
      <c r="P33" s="23">
        <f>'Resid Cust Fcst '!$BI34*'Resid TSM UC Adj'!P33</f>
        <v>0</v>
      </c>
      <c r="Q33" s="45">
        <f>IF(SUM(N33:P33)=0,0,SUM(N33:P33)/'Resid Cust Fcst '!BI34)</f>
        <v>0</v>
      </c>
      <c r="R33" s="137">
        <f t="shared" si="2"/>
        <v>0</v>
      </c>
      <c r="S33" s="23">
        <f t="shared" si="2"/>
        <v>0</v>
      </c>
      <c r="T33" s="23">
        <f t="shared" si="2"/>
        <v>0</v>
      </c>
      <c r="U33" s="45">
        <f>IF(SUM(R33:T33)=0,0,SUM(R33:T33)/'Resid Cust Fcst '!BJ34)</f>
        <v>0</v>
      </c>
      <c r="V33" s="137">
        <f>'Resid Cust Fcst '!$BK34*'Resid TSM UC Adj'!R33</f>
        <v>0</v>
      </c>
      <c r="W33" s="23">
        <f>'Resid Cust Fcst '!$BK34*'Resid TSM UC Adj'!S33</f>
        <v>0</v>
      </c>
      <c r="X33" s="23">
        <f>'Resid Cust Fcst '!$BK34*'Resid TSM UC Adj'!T33</f>
        <v>0</v>
      </c>
      <c r="Y33" s="45">
        <f>IF(SUM(V33:X33)=0,0,SUM(V33:X33)/'Resid Cust Fcst '!BK34)</f>
        <v>0</v>
      </c>
      <c r="Z33" s="137">
        <f t="shared" si="3"/>
        <v>0</v>
      </c>
      <c r="AA33" s="23">
        <f t="shared" si="3"/>
        <v>0</v>
      </c>
      <c r="AB33" s="23">
        <f t="shared" si="3"/>
        <v>0</v>
      </c>
      <c r="AC33" s="45">
        <f>IF(SUM(Z33:AB33)=0,0,SUM(Z33:AB33)/'Resid Cust Fcst '!BL34)</f>
        <v>0</v>
      </c>
    </row>
    <row r="34" spans="1:29">
      <c r="A34" s="153" t="s">
        <v>125</v>
      </c>
      <c r="B34" s="137">
        <f>'Resid Cust Fcst '!$BF35*'Resid TSM UC Adj'!J34</f>
        <v>0</v>
      </c>
      <c r="C34" s="23">
        <f>'Resid Cust Fcst '!$BF35*'Resid TSM UC Adj'!K34</f>
        <v>0</v>
      </c>
      <c r="D34" s="23">
        <f>'Resid Cust Fcst '!$BF35*'Resid TSM UC Adj'!L34</f>
        <v>0</v>
      </c>
      <c r="E34" s="45">
        <f>IF(SUM(B34:D34)=0,0,SUM(B34:D34)/'Resid Cust Fcst '!BF35)</f>
        <v>0</v>
      </c>
      <c r="F34" s="137">
        <f>'Resid Cust Fcst '!$BG35*'Resid TSM UC Adj'!J34</f>
        <v>0</v>
      </c>
      <c r="G34" s="23">
        <f>'Resid Cust Fcst '!$BG35*'Resid TSM UC Adj'!K34</f>
        <v>0</v>
      </c>
      <c r="H34" s="23">
        <f>'Resid Cust Fcst '!$BG35*'Resid TSM UC Adj'!L34</f>
        <v>0</v>
      </c>
      <c r="I34" s="45">
        <f>IF(SUM(F34:H34)=0,0,SUM(F34:H34)/'Resid Cust Fcst '!BG35)</f>
        <v>0</v>
      </c>
      <c r="J34" s="137">
        <f>'Resid Cust Fcst '!$BH35*'Resid TSM UC Adj'!J34</f>
        <v>0</v>
      </c>
      <c r="K34" s="23">
        <f>'Resid Cust Fcst '!$BH35*'Resid TSM UC Adj'!K34</f>
        <v>0</v>
      </c>
      <c r="L34" s="23">
        <f>'Resid Cust Fcst '!$BH35*'Resid TSM UC Adj'!L34</f>
        <v>0</v>
      </c>
      <c r="M34" s="45">
        <f>IF(SUM(J34:L34)=0,0,SUM(J34:L34)/'Resid Cust Fcst '!BH35)</f>
        <v>0</v>
      </c>
      <c r="N34" s="137">
        <f>'Resid Cust Fcst '!$BI35*'Resid TSM UC Adj'!N34</f>
        <v>0</v>
      </c>
      <c r="O34" s="23">
        <f>'Resid Cust Fcst '!$BI35*'Resid TSM UC Adj'!O34</f>
        <v>0</v>
      </c>
      <c r="P34" s="23">
        <f>'Resid Cust Fcst '!$BI35*'Resid TSM UC Adj'!P34</f>
        <v>0</v>
      </c>
      <c r="Q34" s="45">
        <f>IF(SUM(N34:P34)=0,0,SUM(N34:P34)/'Resid Cust Fcst '!BI35)</f>
        <v>0</v>
      </c>
      <c r="R34" s="137">
        <f t="shared" si="2"/>
        <v>0</v>
      </c>
      <c r="S34" s="23">
        <f t="shared" si="2"/>
        <v>0</v>
      </c>
      <c r="T34" s="23">
        <f t="shared" si="2"/>
        <v>0</v>
      </c>
      <c r="U34" s="45">
        <f>IF(SUM(R34:T34)=0,0,SUM(R34:T34)/'Resid Cust Fcst '!BJ35)</f>
        <v>0</v>
      </c>
      <c r="V34" s="137">
        <f>'Resid Cust Fcst '!$BK35*'Resid TSM UC Adj'!R34</f>
        <v>0</v>
      </c>
      <c r="W34" s="23">
        <f>'Resid Cust Fcst '!$BK35*'Resid TSM UC Adj'!S34</f>
        <v>0</v>
      </c>
      <c r="X34" s="23">
        <f>'Resid Cust Fcst '!$BK35*'Resid TSM UC Adj'!T34</f>
        <v>0</v>
      </c>
      <c r="Y34" s="45">
        <f>IF(SUM(V34:X34)=0,0,SUM(V34:X34)/'Resid Cust Fcst '!BK35)</f>
        <v>0</v>
      </c>
      <c r="Z34" s="137">
        <f t="shared" si="3"/>
        <v>0</v>
      </c>
      <c r="AA34" s="23">
        <f t="shared" si="3"/>
        <v>0</v>
      </c>
      <c r="AB34" s="23">
        <f t="shared" si="3"/>
        <v>0</v>
      </c>
      <c r="AC34" s="45">
        <f>IF(SUM(Z34:AB34)=0,0,SUM(Z34:AB34)/'Resid Cust Fcst '!BL35)</f>
        <v>0</v>
      </c>
    </row>
    <row r="35" spans="1:29">
      <c r="A35" s="153" t="s">
        <v>126</v>
      </c>
      <c r="B35" s="137">
        <f>'Resid Cust Fcst '!$BF36*'Resid TSM UC Adj'!J35</f>
        <v>0</v>
      </c>
      <c r="C35" s="23">
        <f>'Resid Cust Fcst '!$BF36*'Resid TSM UC Adj'!K35</f>
        <v>0</v>
      </c>
      <c r="D35" s="23">
        <f>'Resid Cust Fcst '!$BF36*'Resid TSM UC Adj'!L35</f>
        <v>0</v>
      </c>
      <c r="E35" s="45">
        <f>IF(SUM(B35:D35)=0,0,SUM(B35:D35)/'Resid Cust Fcst '!BF36)</f>
        <v>0</v>
      </c>
      <c r="F35" s="137">
        <f>'Resid Cust Fcst '!$BG36*'Resid TSM UC Adj'!J35</f>
        <v>0</v>
      </c>
      <c r="G35" s="23">
        <f>'Resid Cust Fcst '!$BG36*'Resid TSM UC Adj'!K35</f>
        <v>0</v>
      </c>
      <c r="H35" s="23">
        <f>'Resid Cust Fcst '!$BG36*'Resid TSM UC Adj'!L35</f>
        <v>0</v>
      </c>
      <c r="I35" s="45">
        <f>IF(SUM(F35:H35)=0,0,SUM(F35:H35)/'Resid Cust Fcst '!BG36)</f>
        <v>0</v>
      </c>
      <c r="J35" s="137">
        <f>'Resid Cust Fcst '!$BH36*'Resid TSM UC Adj'!J35</f>
        <v>0</v>
      </c>
      <c r="K35" s="23">
        <f>'Resid Cust Fcst '!$BH36*'Resid TSM UC Adj'!K35</f>
        <v>0</v>
      </c>
      <c r="L35" s="23">
        <f>'Resid Cust Fcst '!$BH36*'Resid TSM UC Adj'!L35</f>
        <v>0</v>
      </c>
      <c r="M35" s="45">
        <f>IF(SUM(J35:L35)=0,0,SUM(J35:L35)/'Resid Cust Fcst '!BH36)</f>
        <v>0</v>
      </c>
      <c r="N35" s="137">
        <f>'Resid Cust Fcst '!$BI36*'Resid TSM UC Adj'!N35</f>
        <v>0</v>
      </c>
      <c r="O35" s="23">
        <f>'Resid Cust Fcst '!$BI36*'Resid TSM UC Adj'!O35</f>
        <v>0</v>
      </c>
      <c r="P35" s="23">
        <f>'Resid Cust Fcst '!$BI36*'Resid TSM UC Adj'!P35</f>
        <v>0</v>
      </c>
      <c r="Q35" s="45">
        <f>IF(SUM(N35:P35)=0,0,SUM(N35:P35)/'Resid Cust Fcst '!BI36)</f>
        <v>0</v>
      </c>
      <c r="R35" s="137">
        <f t="shared" si="2"/>
        <v>0</v>
      </c>
      <c r="S35" s="23">
        <f t="shared" si="2"/>
        <v>0</v>
      </c>
      <c r="T35" s="23">
        <f t="shared" si="2"/>
        <v>0</v>
      </c>
      <c r="U35" s="45">
        <f>IF(SUM(R35:T35)=0,0,SUM(R35:T35)/'Resid Cust Fcst '!BJ36)</f>
        <v>0</v>
      </c>
      <c r="V35" s="137">
        <f>'Resid Cust Fcst '!$BK36*'Resid TSM UC Adj'!R35</f>
        <v>0</v>
      </c>
      <c r="W35" s="23">
        <f>'Resid Cust Fcst '!$BK36*'Resid TSM UC Adj'!S35</f>
        <v>0</v>
      </c>
      <c r="X35" s="23">
        <f>'Resid Cust Fcst '!$BK36*'Resid TSM UC Adj'!T35</f>
        <v>0</v>
      </c>
      <c r="Y35" s="45">
        <f>IF(SUM(V35:X35)=0,0,SUM(V35:X35)/'Resid Cust Fcst '!BK36)</f>
        <v>0</v>
      </c>
      <c r="Z35" s="137">
        <f t="shared" si="3"/>
        <v>0</v>
      </c>
      <c r="AA35" s="23">
        <f t="shared" si="3"/>
        <v>0</v>
      </c>
      <c r="AB35" s="23">
        <f t="shared" si="3"/>
        <v>0</v>
      </c>
      <c r="AC35" s="45">
        <f>IF(SUM(Z35:AB35)=0,0,SUM(Z35:AB35)/'Resid Cust Fcst '!BL36)</f>
        <v>0</v>
      </c>
    </row>
    <row r="36" spans="1:29">
      <c r="A36" s="153" t="s">
        <v>26</v>
      </c>
      <c r="B36" s="137">
        <f>'Resid Cust Fcst '!$BF37*'Resid TSM UC Adj'!J36</f>
        <v>0</v>
      </c>
      <c r="C36" s="23">
        <f>'Resid Cust Fcst '!$BF37*'Resid TSM UC Adj'!K36</f>
        <v>0</v>
      </c>
      <c r="D36" s="23">
        <f>'Resid Cust Fcst '!$BF37*'Resid TSM UC Adj'!L36</f>
        <v>0</v>
      </c>
      <c r="E36" s="45">
        <f>IF(SUM(B36:D36)=0,0,SUM(B36:D36)/'Resid Cust Fcst '!BF37)</f>
        <v>0</v>
      </c>
      <c r="F36" s="137">
        <f>'Resid Cust Fcst '!$BG37*'Resid TSM UC Adj'!J36</f>
        <v>0</v>
      </c>
      <c r="G36" s="23">
        <f>'Resid Cust Fcst '!$BG37*'Resid TSM UC Adj'!K36</f>
        <v>0</v>
      </c>
      <c r="H36" s="23">
        <f>'Resid Cust Fcst '!$BG37*'Resid TSM UC Adj'!L36</f>
        <v>0</v>
      </c>
      <c r="I36" s="45">
        <f>IF(SUM(F36:H36)=0,0,SUM(F36:H36)/'Resid Cust Fcst '!BG37)</f>
        <v>0</v>
      </c>
      <c r="J36" s="137">
        <f>'Resid Cust Fcst '!$BH37*'Resid TSM UC Adj'!J36</f>
        <v>0</v>
      </c>
      <c r="K36" s="23">
        <f>'Resid Cust Fcst '!$BH37*'Resid TSM UC Adj'!K36</f>
        <v>0</v>
      </c>
      <c r="L36" s="23">
        <f>'Resid Cust Fcst '!$BH37*'Resid TSM UC Adj'!L36</f>
        <v>0</v>
      </c>
      <c r="M36" s="45">
        <f>IF(SUM(J36:L36)=0,0,SUM(J36:L36)/'Resid Cust Fcst '!BH37)</f>
        <v>0</v>
      </c>
      <c r="N36" s="137">
        <f>'Resid Cust Fcst '!$BI37*'Resid TSM UC Adj'!N36</f>
        <v>0</v>
      </c>
      <c r="O36" s="23">
        <f>'Resid Cust Fcst '!$BI37*'Resid TSM UC Adj'!O36</f>
        <v>0</v>
      </c>
      <c r="P36" s="23">
        <f>'Resid Cust Fcst '!$BI37*'Resid TSM UC Adj'!P36</f>
        <v>0</v>
      </c>
      <c r="Q36" s="45">
        <f>IF(SUM(N36:P36)=0,0,SUM(N36:P36)/'Resid Cust Fcst '!BI37)</f>
        <v>0</v>
      </c>
      <c r="R36" s="137">
        <f t="shared" si="2"/>
        <v>0</v>
      </c>
      <c r="S36" s="23">
        <f t="shared" si="2"/>
        <v>0</v>
      </c>
      <c r="T36" s="23">
        <f t="shared" si="2"/>
        <v>0</v>
      </c>
      <c r="U36" s="45">
        <f>IF(SUM(R36:T36)=0,0,SUM(R36:T36)/'Resid Cust Fcst '!BJ37)</f>
        <v>0</v>
      </c>
      <c r="V36" s="137">
        <f>'Resid Cust Fcst '!$BK37*'Resid TSM UC Adj'!R36</f>
        <v>0</v>
      </c>
      <c r="W36" s="23">
        <f>'Resid Cust Fcst '!$BK37*'Resid TSM UC Adj'!S36</f>
        <v>0</v>
      </c>
      <c r="X36" s="23">
        <f>'Resid Cust Fcst '!$BK37*'Resid TSM UC Adj'!T36</f>
        <v>0</v>
      </c>
      <c r="Y36" s="45">
        <f>IF(SUM(V36:X36)=0,0,SUM(V36:X36)/'Resid Cust Fcst '!BK37)</f>
        <v>0</v>
      </c>
      <c r="Z36" s="137">
        <f t="shared" si="3"/>
        <v>0</v>
      </c>
      <c r="AA36" s="23">
        <f t="shared" si="3"/>
        <v>0</v>
      </c>
      <c r="AB36" s="23">
        <f t="shared" si="3"/>
        <v>0</v>
      </c>
      <c r="AC36" s="45">
        <f>IF(SUM(Z36:AB36)=0,0,SUM(Z36:AB36)/'Resid Cust Fcst '!BL37)</f>
        <v>0</v>
      </c>
    </row>
    <row r="37" spans="1:29">
      <c r="A37" s="153" t="s">
        <v>27</v>
      </c>
      <c r="B37" s="137">
        <f>'Resid Cust Fcst '!$BF38*'Resid TSM UC Adj'!J37</f>
        <v>0</v>
      </c>
      <c r="C37" s="23">
        <f>'Resid Cust Fcst '!$BF38*'Resid TSM UC Adj'!K37</f>
        <v>0</v>
      </c>
      <c r="D37" s="23">
        <f>'Resid Cust Fcst '!$BF38*'Resid TSM UC Adj'!L37</f>
        <v>0</v>
      </c>
      <c r="E37" s="45">
        <f>IF(SUM(B37:D37)=0,0,SUM(B37:D37)/'Resid Cust Fcst '!BF38)</f>
        <v>0</v>
      </c>
      <c r="F37" s="137">
        <f>'Resid Cust Fcst '!$BG38*'Resid TSM UC Adj'!J37</f>
        <v>0</v>
      </c>
      <c r="G37" s="23">
        <f>'Resid Cust Fcst '!$BG38*'Resid TSM UC Adj'!K37</f>
        <v>0</v>
      </c>
      <c r="H37" s="23">
        <f>'Resid Cust Fcst '!$BG38*'Resid TSM UC Adj'!L37</f>
        <v>0</v>
      </c>
      <c r="I37" s="45">
        <f>IF(SUM(F37:H37)=0,0,SUM(F37:H37)/'Resid Cust Fcst '!BG38)</f>
        <v>0</v>
      </c>
      <c r="J37" s="137">
        <f>'Resid Cust Fcst '!$BH38*'Resid TSM UC Adj'!J37</f>
        <v>0</v>
      </c>
      <c r="K37" s="23">
        <f>'Resid Cust Fcst '!$BH38*'Resid TSM UC Adj'!K37</f>
        <v>0</v>
      </c>
      <c r="L37" s="23">
        <f>'Resid Cust Fcst '!$BH38*'Resid TSM UC Adj'!L37</f>
        <v>0</v>
      </c>
      <c r="M37" s="45">
        <f>IF(SUM(J37:L37)=0,0,SUM(J37:L37)/'Resid Cust Fcst '!BH38)</f>
        <v>0</v>
      </c>
      <c r="N37" s="137">
        <f>'Resid Cust Fcst '!$BI38*'Resid TSM UC Adj'!N37</f>
        <v>0</v>
      </c>
      <c r="O37" s="23">
        <f>'Resid Cust Fcst '!$BI38*'Resid TSM UC Adj'!O37</f>
        <v>0</v>
      </c>
      <c r="P37" s="23">
        <f>'Resid Cust Fcst '!$BI38*'Resid TSM UC Adj'!P37</f>
        <v>0</v>
      </c>
      <c r="Q37" s="45">
        <f>IF(SUM(N37:P37)=0,0,SUM(N37:P37)/'Resid Cust Fcst '!BI38)</f>
        <v>0</v>
      </c>
      <c r="R37" s="137">
        <f t="shared" si="2"/>
        <v>0</v>
      </c>
      <c r="S37" s="23">
        <f t="shared" si="2"/>
        <v>0</v>
      </c>
      <c r="T37" s="23">
        <f t="shared" si="2"/>
        <v>0</v>
      </c>
      <c r="U37" s="45">
        <f>IF(SUM(R37:T37)=0,0,SUM(R37:T37)/'Resid Cust Fcst '!BJ38)</f>
        <v>0</v>
      </c>
      <c r="V37" s="137">
        <f>'Resid Cust Fcst '!$BK38*'Resid TSM UC Adj'!R37</f>
        <v>0</v>
      </c>
      <c r="W37" s="23">
        <f>'Resid Cust Fcst '!$BK38*'Resid TSM UC Adj'!S37</f>
        <v>0</v>
      </c>
      <c r="X37" s="23">
        <f>'Resid Cust Fcst '!$BK38*'Resid TSM UC Adj'!T37</f>
        <v>0</v>
      </c>
      <c r="Y37" s="45">
        <f>IF(SUM(V37:X37)=0,0,SUM(V37:X37)/'Resid Cust Fcst '!BK38)</f>
        <v>0</v>
      </c>
      <c r="Z37" s="137">
        <f t="shared" si="3"/>
        <v>0</v>
      </c>
      <c r="AA37" s="23">
        <f t="shared" si="3"/>
        <v>0</v>
      </c>
      <c r="AB37" s="23">
        <f t="shared" si="3"/>
        <v>0</v>
      </c>
      <c r="AC37" s="45">
        <f>IF(SUM(Z37:AB37)=0,0,SUM(Z37:AB37)/'Resid Cust Fcst '!BL38)</f>
        <v>0</v>
      </c>
    </row>
    <row r="38" spans="1:29" ht="13.5" thickBot="1">
      <c r="A38" s="156"/>
      <c r="B38" s="137"/>
      <c r="C38" s="23"/>
      <c r="D38" s="23"/>
      <c r="E38" s="45"/>
      <c r="F38" s="137"/>
      <c r="G38" s="23"/>
      <c r="H38" s="23"/>
      <c r="I38" s="45"/>
      <c r="J38" s="137"/>
      <c r="K38" s="23"/>
      <c r="L38" s="23"/>
      <c r="M38" s="45"/>
      <c r="N38" s="137"/>
      <c r="O38" s="23"/>
      <c r="P38" s="23"/>
      <c r="Q38" s="45"/>
      <c r="R38" s="244"/>
      <c r="S38" s="240"/>
      <c r="T38" s="240"/>
      <c r="U38" s="249"/>
      <c r="V38" s="137"/>
      <c r="W38" s="23"/>
      <c r="X38" s="23"/>
      <c r="Y38" s="45"/>
      <c r="Z38" s="137"/>
      <c r="AA38" s="23"/>
      <c r="AB38" s="23"/>
      <c r="AC38" s="45"/>
    </row>
    <row r="39" spans="1:29" ht="13.5" thickBot="1">
      <c r="A39" s="245" t="s">
        <v>2</v>
      </c>
      <c r="B39" s="317">
        <f>IF(SUM(B7:B37)=0,0,SUM(B7:B37)/'Resid Cust Fcst '!$BF$40)</f>
        <v>703.6635527204445</v>
      </c>
      <c r="C39" s="318">
        <f>IF(SUM(C7:C37)=0,0,SUM(C7:C37)/'Resid Cust Fcst '!$BF$40)</f>
        <v>146.86503561048028</v>
      </c>
      <c r="D39" s="318">
        <f>IF(SUM(D7:D37)=0,0,SUM(D7:D37)/'Resid Cust Fcst '!$BF$40)</f>
        <v>246.24333484162889</v>
      </c>
      <c r="E39" s="319">
        <f>SUM(B39:D39)</f>
        <v>1096.7719231725537</v>
      </c>
      <c r="F39" s="317">
        <f>IF(SUM(F7:F37)=0,0,SUM(F7:F37)/'Resid Cust Fcst '!$BG$40)</f>
        <v>0</v>
      </c>
      <c r="G39" s="318">
        <f>IF(SUM(G7:G37)=0,0,SUM(G7:G37)/'Resid Cust Fcst '!$BG$40)</f>
        <v>0</v>
      </c>
      <c r="H39" s="318">
        <f>IF(SUM(H7:H37)=0,0,SUM(H7:H37)/'Resid Cust Fcst '!$BG$40)</f>
        <v>0</v>
      </c>
      <c r="I39" s="319">
        <f>SUM(F39:H39)</f>
        <v>0</v>
      </c>
      <c r="J39" s="317">
        <f>IF(SUM(J7:J37)=0,0,SUM(J7:J37)/'Resid Cust Fcst '!$BH$40)</f>
        <v>1709.6838670706479</v>
      </c>
      <c r="K39" s="318">
        <f>IF(SUM(K7:K37)=0,0,SUM(K7:K37)/'Resid Cust Fcst '!$BH$40)</f>
        <v>861.4570462634963</v>
      </c>
      <c r="L39" s="318">
        <f>IF(SUM(L7:L37)=0,0,SUM(L7:L37)/'Resid Cust Fcst '!$BH$40)</f>
        <v>373.18</v>
      </c>
      <c r="M39" s="319">
        <f>SUM(J39:L39)</f>
        <v>2944.3209133341438</v>
      </c>
      <c r="N39" s="317">
        <f>IF(SUM(N7:N37)=0,0,SUM(N7:N37)/'Resid Cust Fcst '!$BI$40)</f>
        <v>0</v>
      </c>
      <c r="O39" s="318">
        <f>IF(SUM(O7:O37)=0,0,SUM(O7:O37)/'Resid Cust Fcst '!$BI$40)</f>
        <v>0</v>
      </c>
      <c r="P39" s="318">
        <f>IF(SUM(P7:P37)=0,0,SUM(P7:P37)/'Resid Cust Fcst '!$BI$40)</f>
        <v>0</v>
      </c>
      <c r="Q39" s="319">
        <f>SUM(N39:P39)</f>
        <v>0</v>
      </c>
      <c r="R39" s="317">
        <f>IF(SUM(R7:R37)=0,0,SUM(R7:R37)/'Resid Cust Fcst '!$BJ$40)</f>
        <v>720.10179315100333</v>
      </c>
      <c r="S39" s="318">
        <f>IF(SUM(S7:S37)=0,0,SUM(S7:S37)/'Resid Cust Fcst '!$BJ$40)</f>
        <v>158.54137565383024</v>
      </c>
      <c r="T39" s="318">
        <f>IF(SUM(T7:T37)=0,0,SUM(T7:T37)/'Resid Cust Fcst '!$BJ$40)</f>
        <v>248.31746335728857</v>
      </c>
      <c r="U39" s="319">
        <f>SUM(R39:T39)</f>
        <v>1126.960632162122</v>
      </c>
      <c r="V39" s="317">
        <f>IF(SUM(V7:V37)=0,0,SUM(V7:V37)/'Resid Cust Fcst '!$BK$40)</f>
        <v>0</v>
      </c>
      <c r="W39" s="318">
        <f>IF(SUM(W7:W37)=0,0,SUM(W7:W37)/'Resid Cust Fcst '!$BK$40)</f>
        <v>0</v>
      </c>
      <c r="X39" s="318">
        <f>IF(SUM(X7:X37)=0,0,SUM(X7:X37)/'Resid Cust Fcst '!$BK$40)</f>
        <v>0</v>
      </c>
      <c r="Y39" s="319">
        <f>SUM(V39:X39)</f>
        <v>0</v>
      </c>
      <c r="Z39" s="317">
        <f>IF(SUM(Z7:Z37)=0,0,SUM(Z7:Z37)/'Resid Cust Fcst '!$BL$40)</f>
        <v>720.10179315100333</v>
      </c>
      <c r="AA39" s="318">
        <f>IF(SUM(AA7:AA37)=0,0,SUM(AA7:AA37)/'Resid Cust Fcst '!$BL$40)</f>
        <v>158.54137565383024</v>
      </c>
      <c r="AB39" s="318">
        <f>IF(SUM(AB7:AB37)=0,0,SUM(AB7:AB37)/'Resid Cust Fcst '!$BL$40)</f>
        <v>248.31746335728857</v>
      </c>
      <c r="AC39" s="319">
        <f>SUM(Z39:AB39)</f>
        <v>1126.960632162122</v>
      </c>
    </row>
    <row r="40" spans="1:29">
      <c r="A40" s="55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</row>
    <row r="41" spans="1:29">
      <c r="A41" s="340" t="s">
        <v>102</v>
      </c>
      <c r="B41" s="18"/>
      <c r="C41" s="18"/>
      <c r="D41" s="18"/>
      <c r="E41" s="23">
        <f>IF(SUM(B7:D37)=0,0,SUM(B7:D37)/'Resid Cust Fcst '!BF40)-E39</f>
        <v>0</v>
      </c>
      <c r="F41" s="18"/>
      <c r="G41" s="18"/>
      <c r="H41" s="18"/>
      <c r="I41" s="23">
        <f>IF(SUM(F7:H37)=0,0,SUM(F7:H37)/'Resid Cust Fcst '!BG40)-I39</f>
        <v>0</v>
      </c>
      <c r="J41" s="18"/>
      <c r="K41" s="18"/>
      <c r="L41" s="18"/>
      <c r="M41" s="23">
        <f>IF(SUM(J7:L37)=0,0,SUM(J7:L37)/'Resid Cust Fcst '!BH40)-M39</f>
        <v>0</v>
      </c>
      <c r="N41" s="18"/>
      <c r="O41" s="18"/>
      <c r="P41" s="18"/>
      <c r="Q41" s="23">
        <f>IF(SUM(N7:P37)=0,0,SUM(N7:P37)/'Resid Cust Fcst '!BI40)-Q39</f>
        <v>0</v>
      </c>
      <c r="R41" s="18"/>
      <c r="S41" s="18"/>
      <c r="T41" s="18"/>
      <c r="U41" s="23">
        <f>IF(SUM(R7:T37)=0,0,SUM(R7:T37)/'Resid Cust Fcst '!BJ40)-U39</f>
        <v>0</v>
      </c>
      <c r="V41" s="18"/>
      <c r="W41" s="18"/>
      <c r="X41" s="18"/>
      <c r="Y41" s="23">
        <f>IF(SUM(V7:X37)=0,0,SUM(V7:X37)/'Resid Cust Fcst '!BK40)-Y39</f>
        <v>0</v>
      </c>
      <c r="Z41" s="18"/>
      <c r="AA41" s="18"/>
      <c r="AB41" s="18"/>
      <c r="AC41" s="23">
        <f>IF(SUM(Z7:AB37)=0,0,SUM(Z7:AB37)/'Resid Cust Fcst '!BL40)-AC39</f>
        <v>0</v>
      </c>
    </row>
    <row r="42" spans="1:29">
      <c r="N42" s="56"/>
      <c r="O42" s="56"/>
      <c r="P42" s="56"/>
    </row>
    <row r="43" spans="1:29">
      <c r="N43" s="56"/>
      <c r="O43" s="56"/>
      <c r="P43" s="56"/>
    </row>
    <row r="44" spans="1:29">
      <c r="A44" s="19"/>
      <c r="N44" s="18"/>
      <c r="O44" s="18"/>
      <c r="P44" s="18"/>
    </row>
    <row r="56" spans="1:1">
      <c r="A56" s="19"/>
    </row>
  </sheetData>
  <mergeCells count="9">
    <mergeCell ref="A1:Y1"/>
    <mergeCell ref="B2:U2"/>
    <mergeCell ref="V2:Y2"/>
    <mergeCell ref="Z2:AC2"/>
    <mergeCell ref="B3:E3"/>
    <mergeCell ref="F3:I3"/>
    <mergeCell ref="J3:M3"/>
    <mergeCell ref="N3:Q3"/>
    <mergeCell ref="R3:U3"/>
  </mergeCells>
  <printOptions horizontalCentered="1"/>
  <pageMargins left="0.75" right="0.75" top="1" bottom="1" header="0.5" footer="0.5"/>
  <pageSetup scale="40" orientation="portrait" r:id="rId1"/>
  <headerFooter alignWithMargins="0">
    <oddFooter>&amp;L&amp;F
&amp;A&amp;R&amp;P of &amp;N</oddFooter>
  </headerFooter>
  <colBreaks count="1" manualBreakCount="1">
    <brk id="17" max="3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9" tint="-0.499984740745262"/>
    <pageSetUpPr fitToPage="1"/>
  </sheetPr>
  <dimension ref="A1:AE78"/>
  <sheetViews>
    <sheetView zoomScaleNormal="100" workbookViewId="0">
      <pane xSplit="1" ySplit="8" topLeftCell="B9" activePane="bottomRight" state="frozen"/>
      <selection activeCell="D15" sqref="D15"/>
      <selection pane="topRight" activeCell="D15" sqref="D15"/>
      <selection pane="bottomLeft" activeCell="D15" sqref="D15"/>
      <selection pane="bottomRight" activeCell="C29" sqref="C29"/>
    </sheetView>
  </sheetViews>
  <sheetFormatPr defaultColWidth="9.140625" defaultRowHeight="12.75"/>
  <cols>
    <col min="1" max="1" width="8.28515625" style="172" customWidth="1"/>
    <col min="2" max="2" width="80.7109375" style="52" customWidth="1"/>
    <col min="3" max="4" width="15.7109375" style="52" customWidth="1"/>
    <col min="5" max="5" width="10.28515625" style="193" bestFit="1" customWidth="1"/>
    <col min="6" max="6" width="8.85546875" style="52" customWidth="1"/>
    <col min="7" max="7" width="9.5703125" style="52" bestFit="1" customWidth="1"/>
    <col min="8" max="8" width="9.140625" style="52"/>
    <col min="9" max="9" width="13.42578125" style="52" bestFit="1" customWidth="1"/>
    <col min="10" max="16384" width="9.140625" style="52"/>
  </cols>
  <sheetData>
    <row r="1" spans="1:31">
      <c r="A1" s="817" t="str">
        <f>'Tab Descriptions'!A1:D1</f>
        <v>SAN DIEGO GAS &amp; ELECTRIC COMPANY ("SDG&amp;E")</v>
      </c>
      <c r="B1" s="817"/>
      <c r="C1" s="817"/>
      <c r="D1" s="817"/>
    </row>
    <row r="2" spans="1:31">
      <c r="A2" s="817" t="str">
        <f>'Tab Descriptions'!A2:D2</f>
        <v>TEST YEAR ("TY") 2019 GENERAL RATE CASE ("GRC") PHASE 2, APPLICATION ("A.") 19-03-002</v>
      </c>
      <c r="B2" s="817"/>
      <c r="C2" s="817"/>
      <c r="D2" s="817"/>
    </row>
    <row r="3" spans="1:31">
      <c r="A3" s="817" t="str">
        <f>'Tab Descriptions'!A3:D3</f>
        <v>MARGINAL DISTRIBUTION CUSTOMER COST WORKPAPERS FOR NON-SCHOOL CLASSES- CHAPTER 5 (SAXE) - REVISED</v>
      </c>
      <c r="B3" s="817"/>
      <c r="C3" s="817"/>
      <c r="D3" s="817"/>
    </row>
    <row r="4" spans="1:31">
      <c r="A4" s="542"/>
      <c r="B4" s="542"/>
      <c r="C4" s="542"/>
      <c r="D4" s="542"/>
    </row>
    <row r="5" spans="1:31">
      <c r="A5" s="817" t="s">
        <v>382</v>
      </c>
      <c r="B5" s="817"/>
      <c r="C5" s="817"/>
      <c r="D5" s="817"/>
    </row>
    <row r="6" spans="1:31">
      <c r="C6" s="54"/>
    </row>
    <row r="7" spans="1:31">
      <c r="A7" s="172" t="s">
        <v>89</v>
      </c>
      <c r="B7" s="52" t="s">
        <v>3</v>
      </c>
      <c r="C7" s="817" t="s">
        <v>87</v>
      </c>
      <c r="D7" s="817"/>
      <c r="F7" s="172"/>
      <c r="G7" s="478"/>
      <c r="H7" s="478"/>
      <c r="I7" s="172"/>
      <c r="J7" s="478"/>
      <c r="K7" s="478"/>
      <c r="L7" s="478"/>
      <c r="M7" s="478"/>
      <c r="N7" s="478"/>
      <c r="O7" s="478"/>
      <c r="P7" s="478"/>
      <c r="Q7" s="478"/>
      <c r="R7" s="478"/>
      <c r="S7" s="478"/>
      <c r="T7" s="478"/>
      <c r="U7" s="478"/>
      <c r="V7" s="478"/>
      <c r="W7" s="478"/>
      <c r="X7" s="478"/>
      <c r="Y7" s="478"/>
      <c r="Z7" s="478"/>
      <c r="AA7" s="478"/>
      <c r="AB7" s="478"/>
      <c r="AC7" s="478"/>
      <c r="AD7" s="478"/>
      <c r="AE7" s="478"/>
    </row>
    <row r="8" spans="1:31" ht="15" thickBot="1">
      <c r="A8" s="172" t="s">
        <v>275</v>
      </c>
      <c r="C8" s="355" t="s">
        <v>381</v>
      </c>
      <c r="D8" s="515" t="s">
        <v>263</v>
      </c>
      <c r="F8" s="172"/>
      <c r="G8" s="478"/>
      <c r="H8" s="478"/>
      <c r="I8" s="810"/>
      <c r="J8" s="478"/>
      <c r="K8" s="478"/>
      <c r="L8" s="478"/>
      <c r="M8" s="478"/>
      <c r="N8" s="478"/>
      <c r="O8" s="478"/>
      <c r="P8" s="478"/>
      <c r="Q8" s="478"/>
      <c r="R8" s="478"/>
      <c r="S8" s="478"/>
      <c r="T8" s="478"/>
      <c r="U8" s="478"/>
      <c r="V8" s="478"/>
      <c r="W8" s="478"/>
      <c r="X8" s="478"/>
      <c r="Y8" s="478"/>
      <c r="Z8" s="478"/>
      <c r="AA8" s="478"/>
      <c r="AB8" s="478"/>
      <c r="AC8" s="478"/>
      <c r="AD8" s="478"/>
      <c r="AE8" s="478"/>
    </row>
    <row r="9" spans="1:31" ht="13.5" thickBot="1">
      <c r="A9" s="172">
        <v>1</v>
      </c>
      <c r="B9" s="125" t="s">
        <v>273</v>
      </c>
      <c r="C9" s="632">
        <f>'Marg Cust Cost by Rate Schedule'!M3</f>
        <v>134.01769600284743</v>
      </c>
      <c r="D9" s="526">
        <f>C9/12</f>
        <v>11.168141333570619</v>
      </c>
      <c r="F9" s="812"/>
      <c r="G9" s="811"/>
      <c r="H9" s="478"/>
      <c r="I9" s="478"/>
      <c r="J9" s="812"/>
      <c r="K9" s="697"/>
      <c r="L9" s="478"/>
      <c r="M9" s="478"/>
      <c r="N9" s="478"/>
      <c r="O9" s="478"/>
      <c r="P9" s="478"/>
      <c r="Q9" s="478"/>
      <c r="R9" s="478"/>
      <c r="S9" s="478"/>
      <c r="T9" s="478"/>
      <c r="U9" s="478"/>
      <c r="V9" s="478"/>
      <c r="W9" s="478"/>
      <c r="X9" s="478"/>
      <c r="Y9" s="478"/>
      <c r="Z9" s="478"/>
      <c r="AA9" s="478"/>
      <c r="AB9" s="478"/>
      <c r="AC9" s="478"/>
      <c r="AD9" s="478"/>
      <c r="AE9" s="478"/>
    </row>
    <row r="10" spans="1:31" ht="13.5" thickBot="1">
      <c r="A10" s="172">
        <f t="shared" ref="A10:A48" si="0">A9+1</f>
        <v>2</v>
      </c>
      <c r="C10" s="633"/>
      <c r="D10" s="31"/>
      <c r="F10" s="812"/>
      <c r="G10" s="812"/>
      <c r="H10" s="478"/>
      <c r="I10" s="478"/>
      <c r="J10" s="812"/>
      <c r="K10" s="697"/>
      <c r="L10" s="478"/>
      <c r="M10" s="478"/>
      <c r="N10" s="478"/>
      <c r="O10" s="478"/>
      <c r="P10" s="478"/>
      <c r="Q10" s="478"/>
      <c r="R10" s="478"/>
      <c r="S10" s="478"/>
      <c r="T10" s="478"/>
      <c r="U10" s="478"/>
      <c r="V10" s="478"/>
      <c r="W10" s="478"/>
      <c r="X10" s="478"/>
      <c r="Y10" s="478"/>
      <c r="Z10" s="478"/>
      <c r="AA10" s="478"/>
      <c r="AB10" s="478"/>
      <c r="AC10" s="478"/>
      <c r="AD10" s="478"/>
      <c r="AE10" s="478"/>
    </row>
    <row r="11" spans="1:31">
      <c r="A11" s="172">
        <f t="shared" si="0"/>
        <v>3</v>
      </c>
      <c r="B11" s="124" t="s">
        <v>83</v>
      </c>
      <c r="C11" s="634"/>
      <c r="D11" s="527"/>
      <c r="F11" s="812"/>
      <c r="G11" s="812"/>
      <c r="H11" s="478"/>
      <c r="I11" s="478"/>
      <c r="J11" s="812"/>
      <c r="K11" s="697"/>
      <c r="L11" s="478"/>
      <c r="M11" s="478"/>
      <c r="N11" s="478"/>
      <c r="O11" s="478"/>
      <c r="P11" s="478"/>
      <c r="Q11" s="478"/>
      <c r="R11" s="478"/>
      <c r="S11" s="478"/>
      <c r="T11" s="478"/>
      <c r="U11" s="478"/>
      <c r="V11" s="478"/>
      <c r="W11" s="478"/>
      <c r="X11" s="478"/>
      <c r="Y11" s="478"/>
      <c r="Z11" s="478"/>
      <c r="AA11" s="478"/>
      <c r="AB11" s="478"/>
      <c r="AC11" s="478"/>
      <c r="AD11" s="478"/>
      <c r="AE11" s="478"/>
    </row>
    <row r="12" spans="1:31">
      <c r="A12" s="172">
        <f t="shared" si="0"/>
        <v>4</v>
      </c>
      <c r="B12" s="114" t="s">
        <v>175</v>
      </c>
      <c r="C12" s="525"/>
      <c r="D12" s="107"/>
      <c r="F12" s="812"/>
      <c r="G12" s="812"/>
      <c r="H12" s="478"/>
      <c r="I12" s="478"/>
      <c r="J12" s="812"/>
      <c r="K12" s="697"/>
      <c r="L12" s="478"/>
      <c r="M12" s="478"/>
      <c r="N12" s="478"/>
      <c r="O12" s="478"/>
      <c r="P12" s="478"/>
      <c r="Q12" s="478"/>
      <c r="R12" s="478"/>
      <c r="S12" s="478"/>
      <c r="T12" s="478"/>
      <c r="U12" s="478"/>
      <c r="V12" s="478"/>
      <c r="W12" s="478"/>
      <c r="X12" s="478"/>
      <c r="Y12" s="478"/>
      <c r="Z12" s="478"/>
      <c r="AA12" s="478"/>
      <c r="AB12" s="478"/>
      <c r="AC12" s="478"/>
      <c r="AD12" s="478"/>
      <c r="AE12" s="478"/>
    </row>
    <row r="13" spans="1:31">
      <c r="A13" s="172">
        <f t="shared" si="0"/>
        <v>5</v>
      </c>
      <c r="B13" s="194" t="s">
        <v>171</v>
      </c>
      <c r="C13" s="525">
        <f>'Marg Cust Cost by Rate Schedule'!M10</f>
        <v>181.55079649322238</v>
      </c>
      <c r="D13" s="528">
        <f>C13/12</f>
        <v>15.129233041101864</v>
      </c>
      <c r="F13" s="812"/>
      <c r="G13" s="811"/>
      <c r="H13" s="478"/>
      <c r="I13" s="813"/>
      <c r="J13" s="812"/>
      <c r="K13" s="697"/>
      <c r="L13" s="478"/>
      <c r="M13" s="478"/>
      <c r="N13" s="478"/>
      <c r="O13" s="478"/>
      <c r="P13" s="478"/>
      <c r="Q13" s="478"/>
      <c r="R13" s="478"/>
      <c r="S13" s="478"/>
      <c r="T13" s="478"/>
      <c r="U13" s="478"/>
      <c r="V13" s="478"/>
      <c r="W13" s="478"/>
      <c r="X13" s="478"/>
      <c r="Y13" s="478"/>
      <c r="Z13" s="478"/>
      <c r="AA13" s="478"/>
      <c r="AB13" s="478"/>
      <c r="AC13" s="478"/>
      <c r="AD13" s="478"/>
      <c r="AE13" s="478"/>
    </row>
    <row r="14" spans="1:31">
      <c r="A14" s="172">
        <f t="shared" si="0"/>
        <v>6</v>
      </c>
      <c r="B14" s="140" t="s">
        <v>172</v>
      </c>
      <c r="C14" s="525">
        <f>'Marg Cust Cost by Rate Schedule'!M11</f>
        <v>364.58216343225092</v>
      </c>
      <c r="D14" s="528">
        <f t="shared" ref="D14:D24" si="1">C14/12</f>
        <v>30.381846952687578</v>
      </c>
      <c r="F14" s="812"/>
      <c r="G14" s="811"/>
      <c r="H14" s="478"/>
      <c r="I14" s="813"/>
      <c r="J14" s="812"/>
      <c r="K14" s="697"/>
      <c r="L14" s="478"/>
      <c r="M14" s="478"/>
      <c r="N14" s="478"/>
      <c r="O14" s="478"/>
      <c r="P14" s="478"/>
      <c r="Q14" s="478"/>
      <c r="R14" s="478"/>
      <c r="S14" s="478"/>
      <c r="T14" s="478"/>
      <c r="U14" s="478"/>
      <c r="V14" s="478"/>
      <c r="W14" s="478"/>
      <c r="X14" s="478"/>
      <c r="Y14" s="478"/>
      <c r="Z14" s="478"/>
      <c r="AA14" s="478"/>
      <c r="AB14" s="478"/>
      <c r="AC14" s="478"/>
      <c r="AD14" s="478"/>
      <c r="AE14" s="478"/>
    </row>
    <row r="15" spans="1:31">
      <c r="A15" s="172">
        <f t="shared" si="0"/>
        <v>7</v>
      </c>
      <c r="B15" s="140" t="s">
        <v>173</v>
      </c>
      <c r="C15" s="525">
        <f>'Marg Cust Cost by Rate Schedule'!M12</f>
        <v>888.41447093760598</v>
      </c>
      <c r="D15" s="528">
        <f t="shared" si="1"/>
        <v>74.034539244800499</v>
      </c>
      <c r="F15" s="812"/>
      <c r="G15" s="811"/>
      <c r="H15" s="478"/>
      <c r="I15" s="813"/>
      <c r="J15" s="812"/>
      <c r="K15" s="697"/>
      <c r="L15" s="478"/>
      <c r="M15" s="478"/>
      <c r="N15" s="478"/>
      <c r="O15" s="478"/>
      <c r="P15" s="478"/>
      <c r="Q15" s="478"/>
      <c r="R15" s="478"/>
      <c r="S15" s="478"/>
      <c r="T15" s="478"/>
      <c r="U15" s="478"/>
      <c r="V15" s="478"/>
      <c r="W15" s="478"/>
      <c r="X15" s="478"/>
      <c r="Y15" s="478"/>
      <c r="Z15" s="478"/>
      <c r="AA15" s="478"/>
      <c r="AB15" s="478"/>
      <c r="AC15" s="478"/>
      <c r="AD15" s="478"/>
      <c r="AE15" s="478"/>
    </row>
    <row r="16" spans="1:31">
      <c r="A16" s="172">
        <f t="shared" si="0"/>
        <v>8</v>
      </c>
      <c r="B16" s="140" t="s">
        <v>224</v>
      </c>
      <c r="C16" s="525">
        <f>'Marg Cust Cost by Rate Schedule'!M13</f>
        <v>1339.8225082063159</v>
      </c>
      <c r="D16" s="528">
        <f t="shared" si="1"/>
        <v>111.65187568385966</v>
      </c>
      <c r="F16" s="812"/>
      <c r="G16" s="811"/>
      <c r="H16" s="478"/>
      <c r="I16" s="813"/>
      <c r="J16" s="812"/>
      <c r="K16" s="697"/>
      <c r="L16" s="478"/>
      <c r="M16" s="478"/>
      <c r="N16" s="478"/>
      <c r="O16" s="478"/>
      <c r="P16" s="478"/>
      <c r="Q16" s="478"/>
      <c r="R16" s="478"/>
      <c r="S16" s="478"/>
      <c r="T16" s="478"/>
      <c r="U16" s="478"/>
      <c r="V16" s="478"/>
      <c r="W16" s="478"/>
      <c r="X16" s="478"/>
      <c r="Y16" s="478"/>
      <c r="Z16" s="478"/>
      <c r="AA16" s="478"/>
      <c r="AB16" s="478"/>
      <c r="AC16" s="478"/>
      <c r="AD16" s="478"/>
      <c r="AE16" s="478"/>
    </row>
    <row r="17" spans="1:31">
      <c r="A17" s="172">
        <f t="shared" si="0"/>
        <v>9</v>
      </c>
      <c r="B17" s="140" t="s">
        <v>235</v>
      </c>
      <c r="C17" s="525">
        <f>'Marg Cust Cost by Rate Schedule'!M14</f>
        <v>324.88757121945588</v>
      </c>
      <c r="D17" s="528">
        <f t="shared" si="1"/>
        <v>27.073964268287991</v>
      </c>
      <c r="F17" s="812"/>
      <c r="G17" s="811"/>
      <c r="H17" s="478"/>
      <c r="I17" s="813"/>
      <c r="J17" s="812"/>
      <c r="K17" s="697"/>
      <c r="L17" s="478"/>
      <c r="M17" s="478"/>
      <c r="N17" s="478"/>
      <c r="O17" s="478"/>
      <c r="P17" s="478"/>
      <c r="Q17" s="478"/>
      <c r="R17" s="478"/>
      <c r="S17" s="478"/>
      <c r="T17" s="478"/>
      <c r="U17" s="478"/>
      <c r="V17" s="478"/>
      <c r="W17" s="478"/>
      <c r="X17" s="478"/>
      <c r="Y17" s="478"/>
      <c r="Z17" s="478"/>
      <c r="AA17" s="478"/>
      <c r="AB17" s="478"/>
      <c r="AC17" s="478"/>
      <c r="AD17" s="478"/>
      <c r="AE17" s="478"/>
    </row>
    <row r="18" spans="1:31">
      <c r="A18" s="172">
        <f>A17+1</f>
        <v>10</v>
      </c>
      <c r="B18" s="114" t="s">
        <v>176</v>
      </c>
      <c r="C18" s="525"/>
      <c r="D18" s="528"/>
      <c r="F18" s="812"/>
      <c r="G18" s="811"/>
      <c r="H18" s="478"/>
      <c r="I18" s="478"/>
      <c r="J18" s="812"/>
      <c r="K18" s="697"/>
      <c r="L18" s="478"/>
      <c r="M18" s="478"/>
      <c r="N18" s="478"/>
      <c r="O18" s="478"/>
      <c r="P18" s="478"/>
      <c r="Q18" s="478"/>
      <c r="R18" s="478"/>
      <c r="S18" s="478"/>
      <c r="T18" s="478"/>
      <c r="U18" s="478"/>
      <c r="V18" s="478"/>
      <c r="W18" s="478"/>
      <c r="X18" s="478"/>
      <c r="Y18" s="478"/>
      <c r="Z18" s="478"/>
      <c r="AA18" s="478"/>
      <c r="AB18" s="478"/>
      <c r="AC18" s="478"/>
      <c r="AD18" s="478"/>
      <c r="AE18" s="478"/>
    </row>
    <row r="19" spans="1:31">
      <c r="A19" s="172">
        <f t="shared" si="0"/>
        <v>11</v>
      </c>
      <c r="B19" s="194" t="s">
        <v>171</v>
      </c>
      <c r="C19" s="525">
        <f>'Marg Cust Cost by Rate Schedule'!M16</f>
        <v>455.60429853980759</v>
      </c>
      <c r="D19" s="528">
        <f t="shared" si="1"/>
        <v>37.967024878317297</v>
      </c>
      <c r="F19" s="812"/>
      <c r="G19" s="811"/>
      <c r="H19" s="478"/>
      <c r="I19" s="813"/>
      <c r="J19" s="812"/>
      <c r="K19" s="697"/>
      <c r="L19" s="478"/>
      <c r="M19" s="478"/>
      <c r="N19" s="478"/>
      <c r="O19" s="478"/>
      <c r="P19" s="478"/>
      <c r="Q19" s="478"/>
      <c r="R19" s="478"/>
      <c r="S19" s="478"/>
      <c r="T19" s="478"/>
      <c r="U19" s="478"/>
      <c r="V19" s="478"/>
      <c r="W19" s="478"/>
      <c r="X19" s="478"/>
      <c r="Y19" s="478"/>
      <c r="Z19" s="478"/>
      <c r="AA19" s="478"/>
      <c r="AB19" s="478"/>
      <c r="AC19" s="478"/>
      <c r="AD19" s="478"/>
      <c r="AE19" s="478"/>
    </row>
    <row r="20" spans="1:31">
      <c r="A20" s="172">
        <f t="shared" si="0"/>
        <v>12</v>
      </c>
      <c r="B20" s="140" t="s">
        <v>172</v>
      </c>
      <c r="C20" s="525">
        <f>'Marg Cust Cost by Rate Schedule'!M17</f>
        <v>455.60429853980753</v>
      </c>
      <c r="D20" s="528">
        <f t="shared" si="1"/>
        <v>37.967024878317297</v>
      </c>
      <c r="F20" s="812"/>
      <c r="G20" s="811"/>
      <c r="H20" s="478"/>
      <c r="I20" s="813"/>
      <c r="J20" s="812"/>
      <c r="K20" s="697"/>
      <c r="L20" s="478"/>
      <c r="M20" s="478"/>
      <c r="N20" s="478"/>
      <c r="O20" s="478"/>
      <c r="P20" s="478"/>
      <c r="Q20" s="478"/>
      <c r="R20" s="478"/>
      <c r="S20" s="478"/>
      <c r="T20" s="478"/>
      <c r="U20" s="478"/>
      <c r="V20" s="478"/>
      <c r="W20" s="478"/>
      <c r="X20" s="478"/>
      <c r="Y20" s="478"/>
      <c r="Z20" s="478"/>
      <c r="AA20" s="478"/>
      <c r="AB20" s="478"/>
      <c r="AC20" s="478"/>
      <c r="AD20" s="478"/>
      <c r="AE20" s="478"/>
    </row>
    <row r="21" spans="1:31">
      <c r="A21" s="172">
        <f t="shared" si="0"/>
        <v>13</v>
      </c>
      <c r="B21" s="140" t="s">
        <v>173</v>
      </c>
      <c r="C21" s="525">
        <f>'Marg Cust Cost by Rate Schedule'!M18</f>
        <v>455.60429853980759</v>
      </c>
      <c r="D21" s="528">
        <f t="shared" si="1"/>
        <v>37.967024878317297</v>
      </c>
      <c r="F21" s="812"/>
      <c r="G21" s="811"/>
      <c r="H21" s="478"/>
      <c r="I21" s="813"/>
      <c r="J21" s="812"/>
      <c r="K21" s="697"/>
      <c r="L21" s="478"/>
      <c r="M21" s="478"/>
      <c r="N21" s="478"/>
      <c r="O21" s="478"/>
      <c r="P21" s="478"/>
      <c r="Q21" s="478"/>
      <c r="R21" s="478"/>
      <c r="S21" s="478"/>
      <c r="T21" s="478"/>
      <c r="U21" s="478"/>
      <c r="V21" s="478"/>
      <c r="W21" s="478"/>
      <c r="X21" s="478"/>
      <c r="Y21" s="478"/>
      <c r="Z21" s="478"/>
      <c r="AA21" s="478"/>
      <c r="AB21" s="478"/>
      <c r="AC21" s="478"/>
      <c r="AD21" s="478"/>
      <c r="AE21" s="478"/>
    </row>
    <row r="22" spans="1:31">
      <c r="A22" s="172">
        <f t="shared" si="0"/>
        <v>14</v>
      </c>
      <c r="B22" s="140" t="s">
        <v>224</v>
      </c>
      <c r="C22" s="525">
        <f>'Marg Cust Cost by Rate Schedule'!M19</f>
        <v>587.90453100602474</v>
      </c>
      <c r="D22" s="528">
        <f t="shared" si="1"/>
        <v>48.992044250502062</v>
      </c>
      <c r="F22" s="812"/>
      <c r="G22" s="811"/>
      <c r="H22" s="478"/>
      <c r="I22" s="813"/>
      <c r="J22" s="812"/>
      <c r="K22" s="697"/>
      <c r="L22" s="478"/>
      <c r="M22" s="478"/>
      <c r="N22" s="478"/>
      <c r="O22" s="478"/>
      <c r="P22" s="478"/>
      <c r="Q22" s="478"/>
      <c r="R22" s="478"/>
      <c r="S22" s="478"/>
      <c r="T22" s="478"/>
      <c r="U22" s="478"/>
      <c r="V22" s="478"/>
      <c r="W22" s="478"/>
      <c r="X22" s="478"/>
      <c r="Y22" s="478"/>
      <c r="Z22" s="478"/>
      <c r="AA22" s="478"/>
      <c r="AB22" s="478"/>
      <c r="AC22" s="478"/>
      <c r="AD22" s="478"/>
      <c r="AE22" s="478"/>
    </row>
    <row r="23" spans="1:31">
      <c r="A23" s="172">
        <f t="shared" si="0"/>
        <v>15</v>
      </c>
      <c r="B23" s="140" t="s">
        <v>236</v>
      </c>
      <c r="C23" s="525">
        <f>'Marg Cust Cost by Rate Schedule'!M20</f>
        <v>475.44933340974023</v>
      </c>
      <c r="D23" s="528">
        <f t="shared" si="1"/>
        <v>39.620777784145019</v>
      </c>
      <c r="F23" s="812"/>
      <c r="G23" s="811"/>
      <c r="H23" s="478"/>
      <c r="I23" s="478"/>
      <c r="J23" s="812"/>
      <c r="K23" s="697"/>
      <c r="L23" s="478"/>
      <c r="M23" s="478"/>
      <c r="N23" s="478"/>
      <c r="O23" s="478"/>
      <c r="P23" s="478"/>
      <c r="Q23" s="478"/>
      <c r="R23" s="478"/>
      <c r="S23" s="478"/>
      <c r="T23" s="478"/>
      <c r="U23" s="478"/>
      <c r="V23" s="478"/>
      <c r="W23" s="478"/>
      <c r="X23" s="478"/>
      <c r="Y23" s="478"/>
      <c r="Z23" s="478"/>
      <c r="AA23" s="478"/>
      <c r="AB23" s="478"/>
      <c r="AC23" s="478"/>
      <c r="AD23" s="478"/>
      <c r="AE23" s="478"/>
    </row>
    <row r="24" spans="1:31" ht="13.5" thickBot="1">
      <c r="A24" s="172">
        <f t="shared" si="0"/>
        <v>16</v>
      </c>
      <c r="B24" s="73" t="s">
        <v>88</v>
      </c>
      <c r="C24" s="635">
        <f>'Marg Cust Cost by Rate Schedule'!M27</f>
        <v>324.91039501956658</v>
      </c>
      <c r="D24" s="529">
        <f t="shared" si="1"/>
        <v>27.075866251630547</v>
      </c>
      <c r="F24" s="812"/>
      <c r="G24" s="814"/>
      <c r="H24" s="478"/>
      <c r="I24" s="478"/>
      <c r="J24" s="812"/>
      <c r="K24" s="697"/>
      <c r="L24" s="478"/>
      <c r="M24" s="478"/>
      <c r="N24" s="478"/>
      <c r="O24" s="478"/>
      <c r="P24" s="478"/>
      <c r="Q24" s="478"/>
      <c r="R24" s="478"/>
      <c r="S24" s="478"/>
      <c r="T24" s="478"/>
      <c r="U24" s="478"/>
      <c r="V24" s="478"/>
      <c r="W24" s="478"/>
      <c r="X24" s="478"/>
      <c r="Y24" s="478"/>
      <c r="Z24" s="478"/>
      <c r="AA24" s="478"/>
      <c r="AB24" s="478"/>
      <c r="AC24" s="478"/>
      <c r="AD24" s="478"/>
      <c r="AE24" s="478"/>
    </row>
    <row r="25" spans="1:31" ht="13.5" thickBot="1">
      <c r="A25" s="172">
        <f t="shared" si="0"/>
        <v>17</v>
      </c>
      <c r="B25" s="123"/>
      <c r="C25" s="633"/>
      <c r="D25" s="31"/>
      <c r="F25" s="812"/>
      <c r="G25" s="814"/>
      <c r="H25" s="478"/>
      <c r="I25" s="478"/>
      <c r="J25" s="812"/>
      <c r="K25" s="697"/>
      <c r="L25" s="478"/>
      <c r="M25" s="478"/>
      <c r="N25" s="478"/>
      <c r="O25" s="478"/>
      <c r="P25" s="478"/>
      <c r="Q25" s="478"/>
      <c r="R25" s="478"/>
      <c r="S25" s="478"/>
      <c r="T25" s="478"/>
      <c r="U25" s="478"/>
      <c r="V25" s="478"/>
      <c r="W25" s="478"/>
      <c r="X25" s="478"/>
      <c r="Y25" s="478"/>
      <c r="Z25" s="478"/>
      <c r="AA25" s="478"/>
      <c r="AB25" s="478"/>
      <c r="AC25" s="478"/>
      <c r="AD25" s="478"/>
      <c r="AE25" s="478"/>
    </row>
    <row r="26" spans="1:31">
      <c r="A26" s="172">
        <f t="shared" si="0"/>
        <v>18</v>
      </c>
      <c r="B26" s="124" t="s">
        <v>220</v>
      </c>
      <c r="C26" s="634"/>
      <c r="D26" s="527"/>
      <c r="F26" s="812"/>
      <c r="G26" s="814"/>
      <c r="H26" s="478"/>
      <c r="I26" s="478"/>
      <c r="J26" s="812"/>
      <c r="K26" s="697"/>
      <c r="L26" s="478"/>
      <c r="M26" s="478"/>
      <c r="N26" s="478"/>
      <c r="O26" s="478"/>
      <c r="P26" s="478"/>
      <c r="Q26" s="478"/>
      <c r="R26" s="478"/>
      <c r="S26" s="478"/>
      <c r="T26" s="478"/>
      <c r="U26" s="478"/>
      <c r="V26" s="478"/>
      <c r="W26" s="478"/>
      <c r="X26" s="478"/>
      <c r="Y26" s="478"/>
      <c r="Z26" s="478"/>
      <c r="AA26" s="478"/>
      <c r="AB26" s="478"/>
      <c r="AC26" s="478"/>
      <c r="AD26" s="478"/>
      <c r="AE26" s="478"/>
    </row>
    <row r="27" spans="1:31">
      <c r="A27" s="172">
        <f t="shared" si="0"/>
        <v>19</v>
      </c>
      <c r="B27" s="10" t="s">
        <v>84</v>
      </c>
      <c r="C27" s="525"/>
      <c r="D27" s="107"/>
      <c r="F27" s="812"/>
      <c r="G27" s="814"/>
      <c r="H27" s="478"/>
      <c r="I27" s="478"/>
      <c r="J27" s="812"/>
      <c r="K27" s="697"/>
      <c r="L27" s="478"/>
      <c r="M27" s="478"/>
      <c r="N27" s="478"/>
      <c r="O27" s="478"/>
      <c r="P27" s="478"/>
      <c r="Q27" s="478"/>
      <c r="R27" s="478"/>
      <c r="S27" s="478"/>
      <c r="T27" s="478"/>
      <c r="U27" s="478"/>
      <c r="V27" s="478"/>
      <c r="W27" s="478"/>
      <c r="X27" s="478"/>
      <c r="Y27" s="478"/>
      <c r="Z27" s="478"/>
      <c r="AA27" s="478"/>
      <c r="AB27" s="478"/>
      <c r="AC27" s="478"/>
      <c r="AD27" s="478"/>
      <c r="AE27" s="478"/>
    </row>
    <row r="28" spans="1:31">
      <c r="A28" s="172">
        <f t="shared" si="0"/>
        <v>20</v>
      </c>
      <c r="B28" s="10" t="s">
        <v>237</v>
      </c>
      <c r="C28" s="525">
        <f>'Marg Cust Cost by Rate Schedule'!M34</f>
        <v>1808.4041977239492</v>
      </c>
      <c r="D28" s="528">
        <f t="shared" ref="D28:D42" si="2">C28/12</f>
        <v>150.7003498103291</v>
      </c>
      <c r="F28" s="812"/>
      <c r="G28" s="811"/>
      <c r="H28" s="478"/>
      <c r="I28" s="813"/>
      <c r="J28" s="812"/>
      <c r="K28" s="697"/>
      <c r="L28" s="478"/>
      <c r="M28" s="478"/>
      <c r="N28" s="478"/>
      <c r="O28" s="478"/>
      <c r="P28" s="478"/>
      <c r="Q28" s="478"/>
      <c r="R28" s="478"/>
      <c r="S28" s="478"/>
      <c r="T28" s="478"/>
      <c r="U28" s="478"/>
      <c r="V28" s="478"/>
      <c r="W28" s="478"/>
      <c r="X28" s="478"/>
      <c r="Y28" s="478"/>
      <c r="Z28" s="478"/>
      <c r="AA28" s="478"/>
      <c r="AB28" s="478"/>
      <c r="AC28" s="478"/>
      <c r="AD28" s="478"/>
      <c r="AE28" s="478"/>
    </row>
    <row r="29" spans="1:31">
      <c r="A29" s="172">
        <f t="shared" si="0"/>
        <v>21</v>
      </c>
      <c r="B29" s="10" t="s">
        <v>238</v>
      </c>
      <c r="C29" s="525">
        <f>'Marg Cust Cost by Rate Schedule'!M35</f>
        <v>4350.1676464178436</v>
      </c>
      <c r="D29" s="528">
        <f t="shared" si="2"/>
        <v>362.51397053482032</v>
      </c>
      <c r="F29" s="812"/>
      <c r="G29" s="811"/>
      <c r="H29" s="478"/>
      <c r="I29" s="813"/>
      <c r="J29" s="812"/>
      <c r="K29" s="697"/>
      <c r="L29" s="478"/>
      <c r="M29" s="478"/>
      <c r="N29" s="478"/>
      <c r="O29" s="478"/>
      <c r="P29" s="478"/>
      <c r="Q29" s="478"/>
      <c r="R29" s="478"/>
      <c r="S29" s="478"/>
      <c r="T29" s="478"/>
      <c r="U29" s="478"/>
      <c r="V29" s="478"/>
      <c r="W29" s="478"/>
      <c r="X29" s="478"/>
      <c r="Y29" s="478"/>
      <c r="Z29" s="478"/>
      <c r="AA29" s="478"/>
      <c r="AB29" s="478"/>
      <c r="AC29" s="478"/>
      <c r="AD29" s="478"/>
      <c r="AE29" s="478"/>
    </row>
    <row r="30" spans="1:31">
      <c r="A30" s="172">
        <f t="shared" si="0"/>
        <v>22</v>
      </c>
      <c r="B30" s="10" t="s">
        <v>239</v>
      </c>
      <c r="C30" s="525"/>
      <c r="D30" s="528"/>
      <c r="F30" s="812"/>
      <c r="G30" s="811"/>
      <c r="H30" s="478"/>
      <c r="I30" s="478"/>
      <c r="J30" s="812"/>
      <c r="K30" s="697"/>
      <c r="L30" s="478"/>
      <c r="M30" s="478"/>
      <c r="N30" s="478"/>
      <c r="O30" s="478"/>
      <c r="P30" s="478"/>
      <c r="Q30" s="478"/>
      <c r="R30" s="478"/>
      <c r="S30" s="478"/>
      <c r="T30" s="478"/>
      <c r="U30" s="478"/>
      <c r="V30" s="478"/>
      <c r="W30" s="478"/>
      <c r="X30" s="478"/>
      <c r="Y30" s="478"/>
      <c r="Z30" s="478"/>
      <c r="AA30" s="478"/>
      <c r="AB30" s="478"/>
      <c r="AC30" s="478"/>
      <c r="AD30" s="478"/>
      <c r="AE30" s="478"/>
    </row>
    <row r="31" spans="1:31">
      <c r="A31" s="172">
        <f t="shared" si="0"/>
        <v>23</v>
      </c>
      <c r="B31" s="140" t="s">
        <v>235</v>
      </c>
      <c r="C31" s="525">
        <f>'Marg Cust Cost by Rate Schedule'!M37</f>
        <v>1877.6741715274336</v>
      </c>
      <c r="D31" s="528">
        <f t="shared" si="2"/>
        <v>156.47284762728614</v>
      </c>
      <c r="F31" s="812"/>
      <c r="G31" s="811"/>
      <c r="H31" s="478"/>
      <c r="I31" s="478"/>
      <c r="J31" s="812"/>
      <c r="K31" s="697"/>
      <c r="L31" s="478"/>
      <c r="M31" s="478"/>
      <c r="N31" s="478"/>
      <c r="O31" s="478"/>
      <c r="P31" s="478"/>
      <c r="Q31" s="478"/>
      <c r="R31" s="478"/>
      <c r="S31" s="478"/>
      <c r="T31" s="478"/>
      <c r="U31" s="478"/>
      <c r="V31" s="478"/>
      <c r="W31" s="478"/>
      <c r="X31" s="478"/>
      <c r="Y31" s="478"/>
      <c r="Z31" s="478"/>
      <c r="AA31" s="478"/>
      <c r="AB31" s="478"/>
      <c r="AC31" s="478"/>
      <c r="AD31" s="478"/>
      <c r="AE31" s="478"/>
    </row>
    <row r="32" spans="1:31">
      <c r="A32" s="172">
        <f t="shared" si="0"/>
        <v>24</v>
      </c>
      <c r="B32" s="10" t="s">
        <v>85</v>
      </c>
      <c r="C32" s="525"/>
      <c r="D32" s="528"/>
      <c r="F32" s="812"/>
      <c r="G32" s="811"/>
      <c r="H32" s="478"/>
      <c r="I32" s="478"/>
      <c r="J32" s="812"/>
      <c r="K32" s="697"/>
      <c r="L32" s="478"/>
      <c r="M32" s="478"/>
      <c r="N32" s="478"/>
      <c r="O32" s="478"/>
      <c r="P32" s="478"/>
      <c r="Q32" s="478"/>
      <c r="R32" s="478"/>
      <c r="S32" s="478"/>
      <c r="T32" s="478"/>
      <c r="U32" s="478"/>
      <c r="V32" s="478"/>
      <c r="W32" s="478"/>
      <c r="X32" s="478"/>
      <c r="Y32" s="478"/>
      <c r="Z32" s="478"/>
      <c r="AA32" s="478"/>
      <c r="AB32" s="478"/>
      <c r="AC32" s="478"/>
      <c r="AD32" s="478"/>
      <c r="AE32" s="478"/>
    </row>
    <row r="33" spans="1:31">
      <c r="A33" s="172">
        <f t="shared" si="0"/>
        <v>25</v>
      </c>
      <c r="B33" s="10" t="s">
        <v>237</v>
      </c>
      <c r="C33" s="525">
        <f>'Marg Cust Cost by Rate Schedule'!M39</f>
        <v>896.13660558415791</v>
      </c>
      <c r="D33" s="528">
        <f t="shared" si="2"/>
        <v>74.678050465346487</v>
      </c>
      <c r="F33" s="812"/>
      <c r="G33" s="811"/>
      <c r="H33" s="478"/>
      <c r="I33" s="813"/>
      <c r="J33" s="812"/>
      <c r="K33" s="697"/>
      <c r="L33" s="478"/>
      <c r="M33" s="478"/>
      <c r="N33" s="478"/>
      <c r="O33" s="478"/>
      <c r="P33" s="478"/>
      <c r="Q33" s="478"/>
      <c r="R33" s="478"/>
      <c r="S33" s="478"/>
      <c r="T33" s="478"/>
      <c r="U33" s="478"/>
      <c r="V33" s="478"/>
      <c r="W33" s="478"/>
      <c r="X33" s="478"/>
      <c r="Y33" s="478"/>
      <c r="Z33" s="478"/>
      <c r="AA33" s="478"/>
      <c r="AB33" s="478"/>
      <c r="AC33" s="478"/>
      <c r="AD33" s="478"/>
      <c r="AE33" s="478"/>
    </row>
    <row r="34" spans="1:31">
      <c r="A34" s="172">
        <f t="shared" si="0"/>
        <v>26</v>
      </c>
      <c r="B34" s="10" t="s">
        <v>238</v>
      </c>
      <c r="C34" s="525">
        <f>'Marg Cust Cost by Rate Schedule'!M40</f>
        <v>992.59880939401114</v>
      </c>
      <c r="D34" s="528">
        <f t="shared" si="2"/>
        <v>82.716567449500928</v>
      </c>
      <c r="F34" s="812"/>
      <c r="G34" s="811"/>
      <c r="H34" s="478"/>
      <c r="I34" s="813"/>
      <c r="J34" s="812"/>
      <c r="K34" s="697"/>
      <c r="L34" s="478"/>
      <c r="M34" s="478"/>
      <c r="N34" s="478"/>
      <c r="O34" s="478"/>
      <c r="P34" s="478"/>
      <c r="Q34" s="478"/>
      <c r="R34" s="478"/>
      <c r="S34" s="478"/>
      <c r="T34" s="478"/>
      <c r="U34" s="478"/>
      <c r="V34" s="478"/>
      <c r="W34" s="478"/>
      <c r="X34" s="478"/>
      <c r="Y34" s="478"/>
      <c r="Z34" s="478"/>
      <c r="AA34" s="478"/>
      <c r="AB34" s="478"/>
      <c r="AC34" s="478"/>
      <c r="AD34" s="478"/>
      <c r="AE34" s="478"/>
    </row>
    <row r="35" spans="1:31">
      <c r="A35" s="172">
        <f t="shared" si="0"/>
        <v>27</v>
      </c>
      <c r="B35" s="10" t="s">
        <v>239</v>
      </c>
      <c r="C35" s="525">
        <f>'Marg Cust Cost by Rate Schedule'!M41</f>
        <v>1270.6967950388771</v>
      </c>
      <c r="D35" s="528">
        <f t="shared" si="2"/>
        <v>105.89139958657309</v>
      </c>
      <c r="F35" s="812"/>
      <c r="G35" s="811"/>
      <c r="H35" s="478"/>
      <c r="I35" s="478"/>
      <c r="J35" s="812"/>
      <c r="K35" s="697"/>
      <c r="L35" s="478"/>
      <c r="M35" s="478"/>
      <c r="N35" s="478"/>
      <c r="O35" s="478"/>
      <c r="P35" s="478"/>
      <c r="Q35" s="478"/>
      <c r="R35" s="478"/>
      <c r="S35" s="478"/>
      <c r="T35" s="478"/>
      <c r="U35" s="478"/>
      <c r="V35" s="478"/>
      <c r="W35" s="478"/>
      <c r="X35" s="478"/>
      <c r="Y35" s="478"/>
      <c r="Z35" s="478"/>
      <c r="AA35" s="478"/>
      <c r="AB35" s="478"/>
      <c r="AC35" s="478"/>
      <c r="AD35" s="478"/>
      <c r="AE35" s="478"/>
    </row>
    <row r="36" spans="1:31">
      <c r="A36" s="172">
        <f t="shared" si="0"/>
        <v>28</v>
      </c>
      <c r="B36" s="140" t="s">
        <v>236</v>
      </c>
      <c r="C36" s="525">
        <f>'Marg Cust Cost by Rate Schedule'!M42</f>
        <v>952.70903165455252</v>
      </c>
      <c r="D36" s="528">
        <f t="shared" si="2"/>
        <v>79.392419304546038</v>
      </c>
      <c r="F36" s="812"/>
      <c r="G36" s="811"/>
      <c r="H36" s="478"/>
      <c r="I36" s="478"/>
      <c r="J36" s="812"/>
      <c r="K36" s="697"/>
      <c r="L36" s="478"/>
      <c r="M36" s="478"/>
      <c r="N36" s="478"/>
      <c r="O36" s="478"/>
      <c r="P36" s="478"/>
      <c r="Q36" s="478"/>
      <c r="R36" s="478"/>
      <c r="S36" s="478"/>
      <c r="T36" s="478"/>
      <c r="U36" s="478"/>
      <c r="V36" s="478"/>
      <c r="W36" s="478"/>
      <c r="X36" s="478"/>
      <c r="Y36" s="478"/>
      <c r="Z36" s="478"/>
      <c r="AA36" s="478"/>
      <c r="AB36" s="478"/>
      <c r="AC36" s="478"/>
      <c r="AD36" s="478"/>
      <c r="AE36" s="478"/>
    </row>
    <row r="37" spans="1:31">
      <c r="A37" s="172">
        <f>A35+1</f>
        <v>28</v>
      </c>
      <c r="B37" s="10" t="s">
        <v>211</v>
      </c>
      <c r="C37" s="636"/>
      <c r="D37" s="528"/>
      <c r="F37" s="812"/>
      <c r="G37" s="811"/>
      <c r="H37" s="478"/>
      <c r="I37" s="478"/>
      <c r="J37" s="812"/>
      <c r="K37" s="697"/>
      <c r="L37" s="478"/>
      <c r="M37" s="478"/>
      <c r="N37" s="478"/>
      <c r="O37" s="478"/>
      <c r="P37" s="478"/>
      <c r="Q37" s="478"/>
      <c r="R37" s="478"/>
      <c r="S37" s="478"/>
      <c r="T37" s="478"/>
      <c r="U37" s="478"/>
      <c r="V37" s="478"/>
      <c r="W37" s="478"/>
      <c r="X37" s="478"/>
      <c r="Y37" s="478"/>
      <c r="Z37" s="478"/>
      <c r="AA37" s="478"/>
      <c r="AB37" s="478"/>
      <c r="AC37" s="478"/>
      <c r="AD37" s="478"/>
      <c r="AE37" s="478"/>
    </row>
    <row r="38" spans="1:31">
      <c r="A38" s="172">
        <f t="shared" ref="A38:A44" si="3">A36+1</f>
        <v>29</v>
      </c>
      <c r="B38" s="10" t="s">
        <v>237</v>
      </c>
      <c r="C38" s="637">
        <f>'Marg Cust Cost by Rate Schedule'!M45</f>
        <v>6278.8861602631614</v>
      </c>
      <c r="D38" s="528">
        <f t="shared" si="2"/>
        <v>523.24051335526349</v>
      </c>
      <c r="F38" s="812"/>
      <c r="G38" s="811"/>
      <c r="H38" s="478"/>
      <c r="I38" s="813"/>
      <c r="J38" s="812"/>
      <c r="K38" s="697"/>
      <c r="L38" s="478"/>
      <c r="M38" s="478"/>
      <c r="N38" s="478"/>
      <c r="O38" s="478"/>
      <c r="P38" s="478"/>
      <c r="Q38" s="478"/>
      <c r="R38" s="478"/>
      <c r="S38" s="478"/>
      <c r="T38" s="478"/>
      <c r="U38" s="478"/>
      <c r="V38" s="478"/>
      <c r="W38" s="478"/>
      <c r="X38" s="478"/>
      <c r="Y38" s="478"/>
      <c r="Z38" s="478"/>
      <c r="AA38" s="478"/>
      <c r="AB38" s="478"/>
      <c r="AC38" s="478"/>
      <c r="AD38" s="478"/>
      <c r="AE38" s="478"/>
    </row>
    <row r="39" spans="1:31">
      <c r="A39" s="172">
        <f t="shared" si="3"/>
        <v>29</v>
      </c>
      <c r="B39" s="10" t="s">
        <v>238</v>
      </c>
      <c r="C39" s="637">
        <f>'Marg Cust Cost by Rate Schedule'!M46</f>
        <v>9344.2255710037043</v>
      </c>
      <c r="D39" s="528">
        <f t="shared" si="2"/>
        <v>778.68546425030866</v>
      </c>
      <c r="F39" s="812"/>
      <c r="G39" s="811"/>
      <c r="H39" s="478"/>
      <c r="I39" s="813"/>
      <c r="J39" s="812"/>
      <c r="K39" s="697"/>
      <c r="L39" s="478"/>
      <c r="M39" s="478"/>
      <c r="N39" s="478"/>
      <c r="O39" s="478"/>
      <c r="P39" s="478"/>
      <c r="Q39" s="478"/>
      <c r="R39" s="478"/>
      <c r="S39" s="478"/>
      <c r="T39" s="478"/>
      <c r="U39" s="478"/>
      <c r="V39" s="478"/>
      <c r="W39" s="478"/>
      <c r="X39" s="478"/>
      <c r="Y39" s="478"/>
      <c r="Z39" s="478"/>
      <c r="AA39" s="478"/>
      <c r="AB39" s="478"/>
      <c r="AC39" s="478"/>
      <c r="AD39" s="478"/>
      <c r="AE39" s="478"/>
    </row>
    <row r="40" spans="1:31">
      <c r="A40" s="172">
        <f t="shared" si="3"/>
        <v>30</v>
      </c>
      <c r="B40" s="10" t="s">
        <v>239</v>
      </c>
      <c r="C40" s="637">
        <f>'Marg Cust Cost by Rate Schedule'!M47</f>
        <v>13450.079920796677</v>
      </c>
      <c r="D40" s="528">
        <f t="shared" si="2"/>
        <v>1120.8399933997232</v>
      </c>
      <c r="F40" s="812"/>
      <c r="G40" s="811"/>
      <c r="H40" s="478"/>
      <c r="I40" s="478"/>
      <c r="J40" s="812"/>
      <c r="K40" s="697"/>
      <c r="L40" s="478"/>
      <c r="M40" s="478"/>
      <c r="N40" s="478"/>
      <c r="O40" s="478"/>
      <c r="P40" s="478"/>
      <c r="Q40" s="478"/>
      <c r="R40" s="478"/>
      <c r="S40" s="478"/>
      <c r="T40" s="478"/>
      <c r="U40" s="478"/>
      <c r="V40" s="478"/>
      <c r="W40" s="478"/>
      <c r="X40" s="478"/>
      <c r="Y40" s="478"/>
      <c r="Z40" s="478"/>
      <c r="AA40" s="478"/>
      <c r="AB40" s="478"/>
      <c r="AC40" s="478"/>
      <c r="AD40" s="478"/>
      <c r="AE40" s="478"/>
    </row>
    <row r="41" spans="1:31">
      <c r="A41" s="172">
        <f t="shared" si="3"/>
        <v>30</v>
      </c>
      <c r="B41" s="140" t="s">
        <v>240</v>
      </c>
      <c r="C41" s="637">
        <f>'Marg Cust Cost by Rate Schedule'!M48</f>
        <v>9142.8672319632278</v>
      </c>
      <c r="D41" s="528">
        <f t="shared" si="2"/>
        <v>761.90560266360228</v>
      </c>
      <c r="F41" s="812"/>
      <c r="G41" s="811"/>
      <c r="H41" s="478"/>
      <c r="I41" s="478"/>
      <c r="J41" s="812"/>
      <c r="K41" s="697"/>
      <c r="L41" s="478"/>
      <c r="M41" s="478"/>
      <c r="N41" s="478"/>
      <c r="O41" s="478"/>
      <c r="P41" s="478"/>
      <c r="Q41" s="478"/>
      <c r="R41" s="478"/>
      <c r="S41" s="478"/>
      <c r="T41" s="478"/>
      <c r="U41" s="478"/>
      <c r="V41" s="478"/>
      <c r="W41" s="478"/>
      <c r="X41" s="478"/>
      <c r="Y41" s="478"/>
      <c r="Z41" s="478"/>
      <c r="AA41" s="478"/>
      <c r="AB41" s="478"/>
      <c r="AC41" s="478"/>
      <c r="AD41" s="478"/>
      <c r="AE41" s="478"/>
    </row>
    <row r="42" spans="1:31" ht="13.5" thickBot="1">
      <c r="A42" s="172">
        <f t="shared" si="3"/>
        <v>31</v>
      </c>
      <c r="B42" s="73" t="s">
        <v>256</v>
      </c>
      <c r="C42" s="635">
        <f>'Marg Cust Cost by Rate Schedule'!M54</f>
        <v>1869.0119536471984</v>
      </c>
      <c r="D42" s="529">
        <f t="shared" si="2"/>
        <v>155.75099613726653</v>
      </c>
      <c r="F42" s="812"/>
      <c r="G42" s="811"/>
      <c r="H42" s="478"/>
      <c r="I42" s="478"/>
      <c r="J42" s="812"/>
      <c r="K42" s="697"/>
      <c r="L42" s="478"/>
      <c r="M42" s="478"/>
      <c r="N42" s="478"/>
      <c r="O42" s="478"/>
      <c r="P42" s="478"/>
      <c r="Q42" s="478"/>
      <c r="R42" s="478"/>
      <c r="S42" s="478"/>
      <c r="T42" s="478"/>
      <c r="U42" s="478"/>
      <c r="V42" s="478"/>
      <c r="W42" s="478"/>
      <c r="X42" s="478"/>
      <c r="Y42" s="478"/>
      <c r="Z42" s="478"/>
      <c r="AA42" s="478"/>
      <c r="AB42" s="478"/>
      <c r="AC42" s="478"/>
      <c r="AD42" s="478"/>
      <c r="AE42" s="478"/>
    </row>
    <row r="43" spans="1:31" ht="13.5" thickBot="1">
      <c r="A43" s="172">
        <f t="shared" si="3"/>
        <v>31</v>
      </c>
      <c r="C43" s="633"/>
      <c r="D43" s="31"/>
      <c r="F43" s="812"/>
      <c r="G43" s="814"/>
      <c r="H43" s="478"/>
      <c r="I43" s="478"/>
      <c r="J43" s="812"/>
      <c r="K43" s="697"/>
      <c r="L43" s="478"/>
      <c r="M43" s="478"/>
      <c r="N43" s="478"/>
      <c r="O43" s="478"/>
      <c r="P43" s="478"/>
      <c r="Q43" s="478"/>
      <c r="R43" s="478"/>
      <c r="S43" s="478"/>
      <c r="T43" s="478"/>
      <c r="U43" s="478"/>
      <c r="V43" s="478"/>
      <c r="W43" s="478"/>
      <c r="X43" s="478"/>
      <c r="Y43" s="478"/>
      <c r="Z43" s="478"/>
      <c r="AA43" s="478"/>
      <c r="AB43" s="478"/>
      <c r="AC43" s="478"/>
      <c r="AD43" s="478"/>
      <c r="AE43" s="478"/>
    </row>
    <row r="44" spans="1:31">
      <c r="A44" s="172">
        <f t="shared" si="3"/>
        <v>32</v>
      </c>
      <c r="B44" s="124" t="s">
        <v>86</v>
      </c>
      <c r="C44" s="634"/>
      <c r="D44" s="527"/>
      <c r="F44" s="812"/>
      <c r="G44" s="814"/>
      <c r="H44" s="478"/>
      <c r="I44" s="478"/>
      <c r="J44" s="812"/>
      <c r="K44" s="697"/>
      <c r="L44" s="478"/>
      <c r="M44" s="478"/>
      <c r="N44" s="478"/>
      <c r="O44" s="478"/>
      <c r="P44" s="478"/>
      <c r="Q44" s="478"/>
      <c r="R44" s="478"/>
      <c r="S44" s="478"/>
      <c r="T44" s="478"/>
      <c r="U44" s="478"/>
      <c r="V44" s="478"/>
      <c r="W44" s="478"/>
      <c r="X44" s="478"/>
      <c r="Y44" s="478"/>
      <c r="Z44" s="478"/>
      <c r="AA44" s="478"/>
      <c r="AB44" s="478"/>
      <c r="AC44" s="478"/>
      <c r="AD44" s="478"/>
      <c r="AE44" s="478"/>
    </row>
    <row r="45" spans="1:31">
      <c r="A45" s="172">
        <f t="shared" si="0"/>
        <v>33</v>
      </c>
      <c r="B45" s="114" t="s">
        <v>175</v>
      </c>
      <c r="C45" s="525"/>
      <c r="D45" s="107"/>
      <c r="F45" s="812"/>
      <c r="G45" s="814"/>
      <c r="H45" s="478"/>
      <c r="I45" s="478"/>
      <c r="J45" s="812"/>
      <c r="K45" s="697"/>
      <c r="L45" s="478"/>
      <c r="M45" s="478"/>
      <c r="N45" s="478"/>
      <c r="O45" s="478"/>
      <c r="P45" s="478"/>
      <c r="Q45" s="478"/>
      <c r="R45" s="478"/>
      <c r="S45" s="478"/>
      <c r="T45" s="478"/>
      <c r="U45" s="478"/>
      <c r="V45" s="478"/>
      <c r="W45" s="478"/>
      <c r="X45" s="478"/>
      <c r="Y45" s="478"/>
      <c r="Z45" s="478"/>
      <c r="AA45" s="478"/>
      <c r="AB45" s="478"/>
      <c r="AC45" s="478"/>
      <c r="AD45" s="478"/>
      <c r="AE45" s="478"/>
    </row>
    <row r="46" spans="1:31">
      <c r="A46" s="172">
        <f t="shared" si="0"/>
        <v>34</v>
      </c>
      <c r="B46" s="194" t="s">
        <v>178</v>
      </c>
      <c r="C46" s="638">
        <f>'Marg Cust Cost by Rate Schedule'!M61</f>
        <v>372.62134006939914</v>
      </c>
      <c r="D46" s="528">
        <f t="shared" ref="D46:D55" si="4">C46/12</f>
        <v>31.051778339116595</v>
      </c>
      <c r="F46" s="812"/>
      <c r="G46" s="811"/>
      <c r="H46" s="478"/>
      <c r="I46" s="813"/>
      <c r="J46" s="812"/>
      <c r="K46" s="697"/>
      <c r="L46" s="478"/>
      <c r="M46" s="478"/>
      <c r="N46" s="478"/>
      <c r="O46" s="478"/>
      <c r="P46" s="478"/>
      <c r="Q46" s="478"/>
      <c r="R46" s="478"/>
      <c r="S46" s="478"/>
      <c r="T46" s="478"/>
      <c r="U46" s="478"/>
      <c r="V46" s="478"/>
      <c r="W46" s="478"/>
      <c r="X46" s="478"/>
      <c r="Y46" s="478"/>
      <c r="Z46" s="478"/>
      <c r="AA46" s="478"/>
      <c r="AB46" s="478"/>
      <c r="AC46" s="478"/>
      <c r="AD46" s="478"/>
      <c r="AE46" s="478"/>
    </row>
    <row r="47" spans="1:31">
      <c r="A47" s="172">
        <f t="shared" si="0"/>
        <v>35</v>
      </c>
      <c r="B47" s="140" t="s">
        <v>177</v>
      </c>
      <c r="C47" s="638">
        <f>'Marg Cust Cost by Rate Schedule'!M62</f>
        <v>1271.0520799239325</v>
      </c>
      <c r="D47" s="528">
        <f t="shared" si="4"/>
        <v>105.92100666032771</v>
      </c>
      <c r="F47" s="812"/>
      <c r="G47" s="811"/>
      <c r="H47" s="478"/>
      <c r="I47" s="813"/>
      <c r="J47" s="812"/>
      <c r="K47" s="697"/>
      <c r="L47" s="478"/>
      <c r="M47" s="478"/>
      <c r="N47" s="478"/>
      <c r="O47" s="478"/>
      <c r="P47" s="478"/>
      <c r="Q47" s="478"/>
      <c r="R47" s="478"/>
      <c r="S47" s="478"/>
      <c r="T47" s="478"/>
      <c r="U47" s="478"/>
      <c r="V47" s="478"/>
      <c r="W47" s="478"/>
      <c r="X47" s="478"/>
      <c r="Y47" s="478"/>
      <c r="Z47" s="478"/>
      <c r="AA47" s="478"/>
      <c r="AB47" s="478"/>
      <c r="AC47" s="478"/>
      <c r="AD47" s="478"/>
      <c r="AE47" s="478"/>
    </row>
    <row r="48" spans="1:31">
      <c r="A48" s="172">
        <f t="shared" si="0"/>
        <v>36</v>
      </c>
      <c r="B48" s="140" t="s">
        <v>235</v>
      </c>
      <c r="C48" s="638">
        <f>'Marg Cust Cost by Rate Schedule'!M63</f>
        <v>618.89169515642857</v>
      </c>
      <c r="D48" s="528">
        <f t="shared" si="4"/>
        <v>51.574307929702378</v>
      </c>
      <c r="F48" s="812"/>
      <c r="G48" s="811"/>
      <c r="H48" s="478"/>
      <c r="I48" s="478"/>
      <c r="J48" s="812"/>
      <c r="K48" s="697"/>
      <c r="L48" s="478"/>
      <c r="M48" s="478"/>
      <c r="N48" s="478"/>
      <c r="O48" s="478"/>
      <c r="P48" s="478"/>
      <c r="Q48" s="478"/>
      <c r="R48" s="478"/>
      <c r="S48" s="478"/>
      <c r="T48" s="478"/>
      <c r="U48" s="478"/>
      <c r="V48" s="478"/>
      <c r="W48" s="478"/>
      <c r="X48" s="478"/>
      <c r="Y48" s="478"/>
      <c r="Z48" s="478"/>
      <c r="AA48" s="478"/>
      <c r="AB48" s="478"/>
      <c r="AC48" s="478"/>
      <c r="AD48" s="478"/>
      <c r="AE48" s="478"/>
    </row>
    <row r="49" spans="1:31">
      <c r="A49" s="172">
        <f>A48+1</f>
        <v>37</v>
      </c>
      <c r="B49" s="114" t="s">
        <v>176</v>
      </c>
      <c r="C49" s="638"/>
      <c r="D49" s="528"/>
      <c r="F49" s="812"/>
      <c r="G49" s="811"/>
      <c r="H49" s="478"/>
      <c r="I49" s="478"/>
      <c r="J49" s="812"/>
      <c r="K49" s="697"/>
      <c r="L49" s="478"/>
      <c r="M49" s="478"/>
      <c r="N49" s="478"/>
      <c r="O49" s="478"/>
      <c r="P49" s="478"/>
      <c r="Q49" s="478"/>
      <c r="R49" s="478"/>
      <c r="S49" s="478"/>
      <c r="T49" s="478"/>
      <c r="U49" s="478"/>
      <c r="V49" s="478"/>
      <c r="W49" s="478"/>
      <c r="X49" s="478"/>
      <c r="Y49" s="478"/>
      <c r="Z49" s="478"/>
      <c r="AA49" s="478"/>
      <c r="AB49" s="478"/>
      <c r="AC49" s="478"/>
      <c r="AD49" s="478"/>
      <c r="AE49" s="478"/>
    </row>
    <row r="50" spans="1:31">
      <c r="A50" s="172">
        <f t="shared" ref="A50:A55" si="5">A49+1</f>
        <v>38</v>
      </c>
      <c r="B50" s="194" t="s">
        <v>178</v>
      </c>
      <c r="C50" s="638">
        <f>'Marg Cust Cost by Rate Schedule'!M65</f>
        <v>567.15558101721456</v>
      </c>
      <c r="D50" s="528">
        <f t="shared" si="4"/>
        <v>47.262965084767877</v>
      </c>
      <c r="F50" s="812"/>
      <c r="G50" s="811"/>
      <c r="H50" s="478"/>
      <c r="I50" s="813"/>
      <c r="J50" s="812"/>
      <c r="K50" s="697"/>
      <c r="L50" s="478"/>
      <c r="M50" s="478"/>
      <c r="N50" s="478"/>
      <c r="O50" s="478"/>
      <c r="P50" s="478"/>
      <c r="Q50" s="478"/>
      <c r="R50" s="478"/>
      <c r="S50" s="478"/>
      <c r="T50" s="478"/>
      <c r="U50" s="478"/>
      <c r="V50" s="478"/>
      <c r="W50" s="478"/>
      <c r="X50" s="478"/>
      <c r="Y50" s="478"/>
      <c r="Z50" s="478"/>
      <c r="AA50" s="478"/>
      <c r="AB50" s="478"/>
      <c r="AC50" s="478"/>
      <c r="AD50" s="478"/>
      <c r="AE50" s="478"/>
    </row>
    <row r="51" spans="1:31">
      <c r="A51" s="172">
        <f t="shared" si="5"/>
        <v>39</v>
      </c>
      <c r="B51" s="140" t="s">
        <v>177</v>
      </c>
      <c r="C51" s="638">
        <f>'Marg Cust Cost by Rate Schedule'!M66</f>
        <v>654.11821202295914</v>
      </c>
      <c r="D51" s="528">
        <f t="shared" si="4"/>
        <v>54.509851001913262</v>
      </c>
      <c r="F51" s="812"/>
      <c r="G51" s="811"/>
      <c r="H51" s="478"/>
      <c r="I51" s="813"/>
      <c r="J51" s="812"/>
      <c r="K51" s="697"/>
      <c r="L51" s="478"/>
      <c r="M51" s="478"/>
      <c r="N51" s="478"/>
      <c r="O51" s="478"/>
      <c r="P51" s="478"/>
      <c r="Q51" s="478"/>
      <c r="R51" s="478"/>
      <c r="S51" s="478"/>
      <c r="T51" s="478"/>
      <c r="U51" s="478"/>
      <c r="V51" s="478"/>
      <c r="W51" s="478"/>
      <c r="X51" s="478"/>
      <c r="Y51" s="478"/>
      <c r="Z51" s="478"/>
      <c r="AA51" s="478"/>
      <c r="AB51" s="478"/>
      <c r="AC51" s="478"/>
      <c r="AD51" s="478"/>
      <c r="AE51" s="478"/>
    </row>
    <row r="52" spans="1:31">
      <c r="A52" s="172">
        <f t="shared" si="5"/>
        <v>40</v>
      </c>
      <c r="B52" s="140" t="s">
        <v>236</v>
      </c>
      <c r="C52" s="638">
        <f>'Marg Cust Cost by Rate Schedule'!M67</f>
        <v>650.77349544581512</v>
      </c>
      <c r="D52" s="528">
        <f t="shared" si="4"/>
        <v>54.231124620484593</v>
      </c>
      <c r="F52" s="812"/>
      <c r="G52" s="811"/>
      <c r="H52" s="478"/>
      <c r="I52" s="478"/>
      <c r="J52" s="812"/>
      <c r="K52" s="697"/>
      <c r="L52" s="478"/>
      <c r="M52" s="478"/>
      <c r="N52" s="478"/>
      <c r="O52" s="478"/>
      <c r="P52" s="478"/>
      <c r="Q52" s="478"/>
      <c r="R52" s="478"/>
      <c r="S52" s="478"/>
      <c r="T52" s="478"/>
      <c r="U52" s="478"/>
      <c r="V52" s="478"/>
      <c r="W52" s="478"/>
      <c r="X52" s="478"/>
      <c r="Y52" s="478"/>
      <c r="Z52" s="478"/>
      <c r="AA52" s="478"/>
      <c r="AB52" s="478"/>
      <c r="AC52" s="478"/>
      <c r="AD52" s="478"/>
      <c r="AE52" s="478"/>
    </row>
    <row r="53" spans="1:31" ht="13.5" thickBot="1">
      <c r="A53" s="172">
        <f t="shared" si="5"/>
        <v>41</v>
      </c>
      <c r="B53" s="73" t="s">
        <v>212</v>
      </c>
      <c r="C53" s="635">
        <f>'Marg Cust Cost by Rate Schedule'!M72</f>
        <v>619.10070342862343</v>
      </c>
      <c r="D53" s="529">
        <f t="shared" si="4"/>
        <v>51.591725285718617</v>
      </c>
      <c r="F53" s="812"/>
      <c r="G53" s="811"/>
      <c r="H53" s="478"/>
      <c r="I53" s="478"/>
      <c r="J53" s="812"/>
      <c r="K53" s="697"/>
      <c r="L53" s="478"/>
      <c r="M53" s="478"/>
      <c r="N53" s="478"/>
      <c r="O53" s="478"/>
      <c r="P53" s="478"/>
      <c r="Q53" s="478"/>
      <c r="R53" s="478"/>
      <c r="S53" s="478"/>
      <c r="T53" s="478"/>
      <c r="U53" s="478"/>
      <c r="V53" s="478"/>
      <c r="W53" s="478"/>
      <c r="X53" s="478"/>
      <c r="Y53" s="478"/>
      <c r="Z53" s="478"/>
      <c r="AA53" s="478"/>
      <c r="AB53" s="478"/>
      <c r="AC53" s="478"/>
      <c r="AD53" s="478"/>
      <c r="AE53" s="478"/>
    </row>
    <row r="54" spans="1:31" ht="13.5" thickBot="1">
      <c r="A54" s="172">
        <f t="shared" si="5"/>
        <v>42</v>
      </c>
      <c r="C54" s="633"/>
      <c r="D54" s="31"/>
      <c r="F54" s="812"/>
      <c r="G54" s="814"/>
      <c r="H54" s="478"/>
      <c r="I54" s="478"/>
      <c r="J54" s="812"/>
      <c r="K54" s="697"/>
      <c r="L54" s="478"/>
      <c r="M54" s="478"/>
      <c r="N54" s="478"/>
      <c r="O54" s="478"/>
      <c r="P54" s="478"/>
      <c r="Q54" s="478"/>
      <c r="R54" s="478"/>
      <c r="S54" s="478"/>
      <c r="T54" s="478"/>
      <c r="U54" s="478"/>
      <c r="V54" s="478"/>
      <c r="W54" s="478"/>
      <c r="X54" s="478"/>
      <c r="Y54" s="478"/>
      <c r="Z54" s="478"/>
      <c r="AA54" s="478"/>
      <c r="AB54" s="478"/>
      <c r="AC54" s="478"/>
      <c r="AD54" s="478"/>
      <c r="AE54" s="478"/>
    </row>
    <row r="55" spans="1:31" ht="13.5" thickBot="1">
      <c r="A55" s="172">
        <f t="shared" si="5"/>
        <v>43</v>
      </c>
      <c r="B55" s="125" t="s">
        <v>474</v>
      </c>
      <c r="C55" s="632">
        <f>'Marg Cust Cost by Rate Schedule'!M78</f>
        <v>7.637807714693178</v>
      </c>
      <c r="D55" s="526">
        <f t="shared" si="4"/>
        <v>0.63648397622443154</v>
      </c>
      <c r="F55" s="812"/>
      <c r="G55" s="811"/>
      <c r="H55" s="478"/>
      <c r="I55" s="478"/>
      <c r="J55" s="812"/>
      <c r="K55" s="697"/>
      <c r="L55" s="478"/>
      <c r="M55" s="478"/>
      <c r="N55" s="478"/>
      <c r="O55" s="478"/>
      <c r="P55" s="478"/>
      <c r="Q55" s="478"/>
      <c r="R55" s="478"/>
      <c r="S55" s="478"/>
      <c r="T55" s="478"/>
      <c r="U55" s="478"/>
      <c r="V55" s="478"/>
      <c r="W55" s="478"/>
      <c r="X55" s="478"/>
      <c r="Y55" s="478"/>
      <c r="Z55" s="478"/>
      <c r="AA55" s="478"/>
      <c r="AB55" s="478"/>
      <c r="AC55" s="478"/>
      <c r="AD55" s="478"/>
      <c r="AE55" s="478"/>
    </row>
    <row r="56" spans="1:31">
      <c r="F56" s="478"/>
      <c r="G56" s="478"/>
      <c r="H56" s="478"/>
      <c r="I56" s="478"/>
      <c r="J56" s="478"/>
      <c r="K56" s="478"/>
      <c r="L56" s="478"/>
      <c r="M56" s="478"/>
      <c r="N56" s="478"/>
      <c r="O56" s="478"/>
      <c r="P56" s="478"/>
      <c r="Q56" s="478"/>
      <c r="R56" s="478"/>
      <c r="S56" s="478"/>
      <c r="T56" s="478"/>
      <c r="U56" s="478"/>
      <c r="V56" s="478"/>
      <c r="W56" s="478"/>
      <c r="X56" s="478"/>
      <c r="Y56" s="478"/>
      <c r="Z56" s="478"/>
      <c r="AA56" s="478"/>
      <c r="AB56" s="478"/>
      <c r="AC56" s="478"/>
      <c r="AD56" s="478"/>
      <c r="AE56" s="478"/>
    </row>
    <row r="57" spans="1:31">
      <c r="B57" s="696"/>
      <c r="C57" s="697"/>
      <c r="D57" s="478"/>
      <c r="F57" s="478"/>
      <c r="G57" s="478"/>
      <c r="H57" s="478"/>
      <c r="I57" s="478"/>
      <c r="J57" s="478"/>
      <c r="K57" s="478"/>
      <c r="L57" s="478"/>
      <c r="M57" s="478"/>
      <c r="N57" s="478"/>
      <c r="O57" s="478"/>
      <c r="P57" s="478"/>
      <c r="Q57" s="478"/>
      <c r="R57" s="478"/>
      <c r="S57" s="478"/>
      <c r="T57" s="478"/>
      <c r="U57" s="478"/>
      <c r="V57" s="478"/>
      <c r="W57" s="478"/>
      <c r="X57" s="478"/>
      <c r="Y57" s="478"/>
      <c r="Z57" s="478"/>
      <c r="AA57" s="478"/>
      <c r="AB57" s="478"/>
      <c r="AC57" s="478"/>
      <c r="AD57" s="478"/>
      <c r="AE57" s="478"/>
    </row>
    <row r="58" spans="1:31">
      <c r="B58" s="696"/>
      <c r="C58" s="697"/>
      <c r="D58" s="478"/>
      <c r="F58" s="478"/>
      <c r="G58" s="478"/>
      <c r="H58" s="478"/>
      <c r="I58" s="478"/>
      <c r="J58" s="478"/>
      <c r="K58" s="478"/>
      <c r="L58" s="478"/>
      <c r="M58" s="478"/>
      <c r="N58" s="478"/>
      <c r="O58" s="478"/>
      <c r="P58" s="478"/>
      <c r="Q58" s="478"/>
      <c r="R58" s="478"/>
      <c r="S58" s="478"/>
      <c r="T58" s="478"/>
      <c r="U58" s="478"/>
      <c r="V58" s="478"/>
      <c r="W58" s="478"/>
      <c r="X58" s="478"/>
      <c r="Y58" s="478"/>
      <c r="Z58" s="478"/>
      <c r="AA58" s="478"/>
      <c r="AB58" s="478"/>
      <c r="AC58" s="478"/>
      <c r="AD58" s="478"/>
      <c r="AE58" s="478"/>
    </row>
    <row r="59" spans="1:31">
      <c r="B59" s="478"/>
      <c r="C59" s="478"/>
      <c r="D59" s="478"/>
      <c r="F59" s="478"/>
      <c r="G59" s="478"/>
      <c r="H59" s="478"/>
      <c r="I59" s="478"/>
      <c r="J59" s="478"/>
      <c r="K59" s="478"/>
      <c r="L59" s="478"/>
      <c r="M59" s="478"/>
      <c r="N59" s="478"/>
      <c r="O59" s="478"/>
      <c r="P59" s="478"/>
      <c r="Q59" s="478"/>
      <c r="R59" s="478"/>
      <c r="S59" s="478"/>
      <c r="T59" s="478"/>
      <c r="U59" s="478"/>
      <c r="V59" s="478"/>
      <c r="W59" s="478"/>
      <c r="X59" s="478"/>
      <c r="Y59" s="478"/>
      <c r="Z59" s="478"/>
      <c r="AA59" s="478"/>
      <c r="AB59" s="478"/>
      <c r="AC59" s="478"/>
      <c r="AD59" s="478"/>
      <c r="AE59" s="478"/>
    </row>
    <row r="60" spans="1:31">
      <c r="F60" s="478"/>
      <c r="G60" s="478"/>
      <c r="H60" s="478"/>
      <c r="I60" s="478"/>
      <c r="J60" s="478"/>
      <c r="K60" s="478"/>
      <c r="L60" s="478"/>
      <c r="M60" s="478"/>
      <c r="N60" s="478"/>
      <c r="O60" s="478"/>
      <c r="P60" s="478"/>
      <c r="Q60" s="478"/>
      <c r="R60" s="478"/>
      <c r="S60" s="478"/>
      <c r="T60" s="478"/>
      <c r="U60" s="478"/>
      <c r="V60" s="478"/>
      <c r="W60" s="478"/>
      <c r="X60" s="478"/>
      <c r="Y60" s="478"/>
      <c r="Z60" s="478"/>
      <c r="AA60" s="478"/>
      <c r="AB60" s="478"/>
      <c r="AC60" s="478"/>
      <c r="AD60" s="478"/>
      <c r="AE60" s="478"/>
    </row>
    <row r="61" spans="1:31">
      <c r="F61" s="478"/>
      <c r="G61" s="478"/>
      <c r="H61" s="478"/>
      <c r="I61" s="478"/>
      <c r="J61" s="478"/>
      <c r="K61" s="478"/>
      <c r="L61" s="478"/>
      <c r="M61" s="478"/>
      <c r="N61" s="478"/>
      <c r="O61" s="478"/>
      <c r="P61" s="478"/>
      <c r="Q61" s="478"/>
      <c r="R61" s="478"/>
      <c r="S61" s="478"/>
      <c r="T61" s="478"/>
      <c r="U61" s="478"/>
      <c r="V61" s="478"/>
      <c r="W61" s="478"/>
      <c r="X61" s="478"/>
      <c r="Y61" s="478"/>
      <c r="Z61" s="478"/>
      <c r="AA61" s="478"/>
      <c r="AB61" s="478"/>
      <c r="AC61" s="478"/>
      <c r="AD61" s="478"/>
      <c r="AE61" s="478"/>
    </row>
    <row r="62" spans="1:31">
      <c r="F62" s="478"/>
      <c r="G62" s="478"/>
      <c r="H62" s="478"/>
      <c r="I62" s="478"/>
      <c r="J62" s="478"/>
      <c r="K62" s="478"/>
      <c r="L62" s="478"/>
      <c r="M62" s="478"/>
      <c r="N62" s="478"/>
      <c r="O62" s="478"/>
      <c r="P62" s="478"/>
      <c r="Q62" s="478"/>
      <c r="R62" s="478"/>
      <c r="S62" s="478"/>
      <c r="T62" s="478"/>
      <c r="U62" s="478"/>
      <c r="V62" s="478"/>
      <c r="W62" s="478"/>
      <c r="X62" s="478"/>
      <c r="Y62" s="478"/>
      <c r="Z62" s="478"/>
      <c r="AA62" s="478"/>
      <c r="AB62" s="478"/>
      <c r="AC62" s="478"/>
      <c r="AD62" s="478"/>
      <c r="AE62" s="478"/>
    </row>
    <row r="63" spans="1:31">
      <c r="F63" s="478"/>
      <c r="G63" s="478"/>
      <c r="H63" s="478"/>
      <c r="I63" s="478"/>
      <c r="J63" s="478"/>
      <c r="K63" s="478"/>
      <c r="L63" s="478"/>
      <c r="M63" s="478"/>
      <c r="N63" s="478"/>
      <c r="O63" s="478"/>
      <c r="P63" s="478"/>
      <c r="Q63" s="478"/>
      <c r="R63" s="478"/>
      <c r="S63" s="478"/>
      <c r="T63" s="478"/>
      <c r="U63" s="478"/>
      <c r="V63" s="478"/>
      <c r="W63" s="478"/>
      <c r="X63" s="478"/>
      <c r="Y63" s="478"/>
      <c r="Z63" s="478"/>
      <c r="AA63" s="478"/>
      <c r="AB63" s="478"/>
      <c r="AC63" s="478"/>
      <c r="AD63" s="478"/>
      <c r="AE63" s="478"/>
    </row>
    <row r="64" spans="1:31">
      <c r="F64" s="478"/>
      <c r="G64" s="478"/>
      <c r="H64" s="478"/>
      <c r="I64" s="478"/>
      <c r="J64" s="478"/>
      <c r="K64" s="478"/>
      <c r="L64" s="478"/>
      <c r="M64" s="478"/>
      <c r="N64" s="478"/>
      <c r="O64" s="478"/>
      <c r="P64" s="478"/>
      <c r="Q64" s="478"/>
      <c r="R64" s="478"/>
      <c r="S64" s="478"/>
      <c r="T64" s="478"/>
      <c r="U64" s="478"/>
      <c r="V64" s="478"/>
      <c r="W64" s="478"/>
      <c r="X64" s="478"/>
      <c r="Y64" s="478"/>
      <c r="Z64" s="478"/>
      <c r="AA64" s="478"/>
      <c r="AB64" s="478"/>
      <c r="AC64" s="478"/>
      <c r="AD64" s="478"/>
      <c r="AE64" s="478"/>
    </row>
    <row r="65" spans="6:31">
      <c r="F65" s="478"/>
      <c r="G65" s="478"/>
      <c r="H65" s="478"/>
      <c r="I65" s="478"/>
      <c r="J65" s="478"/>
      <c r="K65" s="478"/>
      <c r="L65" s="478"/>
      <c r="M65" s="478"/>
      <c r="N65" s="478"/>
      <c r="O65" s="478"/>
      <c r="P65" s="478"/>
      <c r="Q65" s="478"/>
      <c r="R65" s="478"/>
      <c r="S65" s="478"/>
      <c r="T65" s="478"/>
      <c r="U65" s="478"/>
      <c r="V65" s="478"/>
      <c r="W65" s="478"/>
      <c r="X65" s="478"/>
      <c r="Y65" s="478"/>
      <c r="Z65" s="478"/>
      <c r="AA65" s="478"/>
      <c r="AB65" s="478"/>
      <c r="AC65" s="478"/>
      <c r="AD65" s="478"/>
      <c r="AE65" s="478"/>
    </row>
    <row r="66" spans="6:31">
      <c r="F66" s="478"/>
      <c r="G66" s="478"/>
      <c r="H66" s="478"/>
      <c r="I66" s="478"/>
      <c r="J66" s="478"/>
      <c r="K66" s="478"/>
      <c r="L66" s="478"/>
      <c r="M66" s="478"/>
      <c r="N66" s="478"/>
      <c r="O66" s="478"/>
      <c r="P66" s="478"/>
      <c r="Q66" s="478"/>
      <c r="R66" s="478"/>
      <c r="S66" s="478"/>
      <c r="T66" s="478"/>
      <c r="U66" s="478"/>
      <c r="V66" s="478"/>
      <c r="W66" s="478"/>
      <c r="X66" s="478"/>
      <c r="Y66" s="478"/>
      <c r="Z66" s="478"/>
      <c r="AA66" s="478"/>
      <c r="AB66" s="478"/>
      <c r="AC66" s="478"/>
      <c r="AD66" s="478"/>
      <c r="AE66" s="478"/>
    </row>
    <row r="67" spans="6:31">
      <c r="F67" s="478"/>
      <c r="G67" s="478"/>
      <c r="H67" s="478"/>
      <c r="I67" s="478"/>
      <c r="J67" s="478"/>
      <c r="K67" s="478"/>
      <c r="L67" s="478"/>
      <c r="M67" s="478"/>
      <c r="N67" s="478"/>
      <c r="O67" s="478"/>
      <c r="P67" s="478"/>
      <c r="Q67" s="478"/>
      <c r="R67" s="478"/>
      <c r="S67" s="478"/>
      <c r="T67" s="478"/>
      <c r="U67" s="478"/>
      <c r="V67" s="478"/>
      <c r="W67" s="478"/>
      <c r="X67" s="478"/>
      <c r="Y67" s="478"/>
      <c r="Z67" s="478"/>
      <c r="AA67" s="478"/>
      <c r="AB67" s="478"/>
      <c r="AC67" s="478"/>
      <c r="AD67" s="478"/>
      <c r="AE67" s="478"/>
    </row>
    <row r="68" spans="6:31">
      <c r="F68" s="478"/>
      <c r="G68" s="478"/>
      <c r="H68" s="478"/>
      <c r="I68" s="478"/>
      <c r="J68" s="478"/>
      <c r="K68" s="478"/>
      <c r="L68" s="478"/>
      <c r="M68" s="478"/>
      <c r="N68" s="478"/>
      <c r="O68" s="478"/>
      <c r="P68" s="478"/>
      <c r="Q68" s="478"/>
      <c r="R68" s="478"/>
      <c r="S68" s="478"/>
      <c r="T68" s="478"/>
      <c r="U68" s="478"/>
      <c r="V68" s="478"/>
      <c r="W68" s="478"/>
      <c r="X68" s="478"/>
      <c r="Y68" s="478"/>
      <c r="Z68" s="478"/>
      <c r="AA68" s="478"/>
      <c r="AB68" s="478"/>
      <c r="AC68" s="478"/>
      <c r="AD68" s="478"/>
      <c r="AE68" s="478"/>
    </row>
    <row r="69" spans="6:31">
      <c r="F69" s="478"/>
      <c r="G69" s="478"/>
      <c r="H69" s="478"/>
      <c r="I69" s="478"/>
      <c r="J69" s="478"/>
      <c r="K69" s="478"/>
      <c r="L69" s="478"/>
      <c r="M69" s="478"/>
      <c r="N69" s="478"/>
      <c r="O69" s="478"/>
      <c r="P69" s="478"/>
      <c r="Q69" s="478"/>
      <c r="R69" s="478"/>
      <c r="S69" s="478"/>
      <c r="T69" s="478"/>
      <c r="U69" s="478"/>
      <c r="V69" s="478"/>
      <c r="W69" s="478"/>
      <c r="X69" s="478"/>
      <c r="Y69" s="478"/>
      <c r="Z69" s="478"/>
      <c r="AA69" s="478"/>
      <c r="AB69" s="478"/>
      <c r="AC69" s="478"/>
      <c r="AD69" s="478"/>
      <c r="AE69" s="478"/>
    </row>
    <row r="70" spans="6:31">
      <c r="F70" s="478"/>
      <c r="G70" s="478"/>
      <c r="H70" s="478"/>
      <c r="I70" s="478"/>
      <c r="J70" s="478"/>
      <c r="K70" s="478"/>
      <c r="L70" s="478"/>
      <c r="M70" s="478"/>
      <c r="N70" s="478"/>
      <c r="O70" s="478"/>
      <c r="P70" s="478"/>
      <c r="Q70" s="478"/>
      <c r="R70" s="478"/>
      <c r="S70" s="478"/>
      <c r="T70" s="478"/>
      <c r="U70" s="478"/>
      <c r="V70" s="478"/>
      <c r="W70" s="478"/>
      <c r="X70" s="478"/>
      <c r="Y70" s="478"/>
      <c r="Z70" s="478"/>
      <c r="AA70" s="478"/>
      <c r="AB70" s="478"/>
      <c r="AC70" s="478"/>
      <c r="AD70" s="478"/>
      <c r="AE70" s="478"/>
    </row>
    <row r="71" spans="6:31">
      <c r="F71" s="478"/>
      <c r="G71" s="478"/>
      <c r="H71" s="478"/>
      <c r="I71" s="478"/>
      <c r="J71" s="478"/>
      <c r="K71" s="478"/>
      <c r="L71" s="478"/>
      <c r="M71" s="478"/>
      <c r="N71" s="478"/>
      <c r="O71" s="478"/>
      <c r="P71" s="478"/>
      <c r="Q71" s="478"/>
      <c r="R71" s="478"/>
      <c r="S71" s="478"/>
      <c r="T71" s="478"/>
      <c r="U71" s="478"/>
      <c r="V71" s="478"/>
      <c r="W71" s="478"/>
      <c r="X71" s="478"/>
      <c r="Y71" s="478"/>
      <c r="Z71" s="478"/>
      <c r="AA71" s="478"/>
      <c r="AB71" s="478"/>
      <c r="AC71" s="478"/>
      <c r="AD71" s="478"/>
      <c r="AE71" s="478"/>
    </row>
    <row r="72" spans="6:31">
      <c r="F72" s="478"/>
      <c r="G72" s="478"/>
      <c r="H72" s="478"/>
      <c r="I72" s="478"/>
      <c r="J72" s="478"/>
      <c r="K72" s="478"/>
      <c r="L72" s="478"/>
      <c r="M72" s="478"/>
      <c r="N72" s="478"/>
      <c r="O72" s="478"/>
      <c r="P72" s="478"/>
      <c r="Q72" s="478"/>
      <c r="R72" s="478"/>
      <c r="S72" s="478"/>
      <c r="T72" s="478"/>
      <c r="U72" s="478"/>
      <c r="V72" s="478"/>
      <c r="W72" s="478"/>
      <c r="X72" s="478"/>
      <c r="Y72" s="478"/>
      <c r="Z72" s="478"/>
      <c r="AA72" s="478"/>
      <c r="AB72" s="478"/>
      <c r="AC72" s="478"/>
      <c r="AD72" s="478"/>
      <c r="AE72" s="478"/>
    </row>
    <row r="73" spans="6:31">
      <c r="F73" s="478"/>
      <c r="G73" s="478"/>
      <c r="H73" s="478"/>
      <c r="I73" s="478"/>
      <c r="J73" s="478"/>
      <c r="K73" s="478"/>
      <c r="L73" s="478"/>
      <c r="M73" s="478"/>
      <c r="N73" s="478"/>
      <c r="O73" s="478"/>
      <c r="P73" s="478"/>
      <c r="Q73" s="478"/>
      <c r="R73" s="478"/>
      <c r="S73" s="478"/>
      <c r="T73" s="478"/>
      <c r="U73" s="478"/>
      <c r="V73" s="478"/>
      <c r="W73" s="478"/>
      <c r="X73" s="478"/>
      <c r="Y73" s="478"/>
      <c r="Z73" s="478"/>
      <c r="AA73" s="478"/>
      <c r="AB73" s="478"/>
      <c r="AC73" s="478"/>
      <c r="AD73" s="478"/>
      <c r="AE73" s="478"/>
    </row>
    <row r="74" spans="6:31">
      <c r="F74" s="478"/>
      <c r="G74" s="478"/>
      <c r="H74" s="478"/>
      <c r="I74" s="478"/>
      <c r="J74" s="478"/>
      <c r="K74" s="478"/>
      <c r="L74" s="478"/>
      <c r="M74" s="478"/>
      <c r="N74" s="478"/>
      <c r="O74" s="478"/>
      <c r="P74" s="478"/>
      <c r="Q74" s="478"/>
      <c r="R74" s="478"/>
      <c r="S74" s="478"/>
      <c r="T74" s="478"/>
      <c r="U74" s="478"/>
      <c r="V74" s="478"/>
      <c r="W74" s="478"/>
      <c r="X74" s="478"/>
      <c r="Y74" s="478"/>
      <c r="Z74" s="478"/>
      <c r="AA74" s="478"/>
      <c r="AB74" s="478"/>
      <c r="AC74" s="478"/>
      <c r="AD74" s="478"/>
      <c r="AE74" s="478"/>
    </row>
    <row r="75" spans="6:31">
      <c r="F75" s="478"/>
      <c r="G75" s="478"/>
      <c r="H75" s="478"/>
      <c r="I75" s="478"/>
      <c r="J75" s="478"/>
      <c r="K75" s="478"/>
      <c r="L75" s="478"/>
      <c r="M75" s="478"/>
      <c r="N75" s="478"/>
      <c r="O75" s="478"/>
      <c r="P75" s="478"/>
      <c r="Q75" s="478"/>
      <c r="R75" s="478"/>
      <c r="S75" s="478"/>
      <c r="T75" s="478"/>
      <c r="U75" s="478"/>
      <c r="V75" s="478"/>
      <c r="W75" s="478"/>
      <c r="X75" s="478"/>
      <c r="Y75" s="478"/>
      <c r="Z75" s="478"/>
      <c r="AA75" s="478"/>
      <c r="AB75" s="478"/>
      <c r="AC75" s="478"/>
      <c r="AD75" s="478"/>
      <c r="AE75" s="478"/>
    </row>
    <row r="76" spans="6:31">
      <c r="F76" s="478"/>
      <c r="G76" s="478"/>
      <c r="H76" s="478"/>
      <c r="I76" s="478"/>
      <c r="J76" s="478"/>
      <c r="K76" s="478"/>
      <c r="L76" s="478"/>
      <c r="M76" s="478"/>
      <c r="N76" s="478"/>
      <c r="O76" s="478"/>
      <c r="P76" s="478"/>
      <c r="Q76" s="478"/>
      <c r="R76" s="478"/>
      <c r="S76" s="478"/>
      <c r="T76" s="478"/>
      <c r="U76" s="478"/>
      <c r="V76" s="478"/>
      <c r="W76" s="478"/>
      <c r="X76" s="478"/>
      <c r="Y76" s="478"/>
      <c r="Z76" s="478"/>
      <c r="AA76" s="478"/>
      <c r="AB76" s="478"/>
      <c r="AC76" s="478"/>
      <c r="AD76" s="478"/>
      <c r="AE76" s="478"/>
    </row>
    <row r="77" spans="6:31">
      <c r="F77" s="478"/>
      <c r="G77" s="478"/>
      <c r="H77" s="478"/>
      <c r="I77" s="478"/>
      <c r="J77" s="478"/>
      <c r="K77" s="478"/>
      <c r="L77" s="478"/>
      <c r="M77" s="478"/>
      <c r="N77" s="478"/>
      <c r="O77" s="478"/>
      <c r="P77" s="478"/>
      <c r="Q77" s="478"/>
      <c r="R77" s="478"/>
      <c r="S77" s="478"/>
      <c r="T77" s="478"/>
      <c r="U77" s="478"/>
      <c r="V77" s="478"/>
      <c r="W77" s="478"/>
      <c r="X77" s="478"/>
      <c r="Y77" s="478"/>
      <c r="Z77" s="478"/>
      <c r="AA77" s="478"/>
      <c r="AB77" s="478"/>
      <c r="AC77" s="478"/>
      <c r="AD77" s="478"/>
      <c r="AE77" s="478"/>
    </row>
    <row r="78" spans="6:31">
      <c r="F78" s="478"/>
      <c r="G78" s="478"/>
      <c r="H78" s="478"/>
      <c r="I78" s="478"/>
      <c r="J78" s="478"/>
      <c r="K78" s="478"/>
      <c r="L78" s="478"/>
      <c r="M78" s="478"/>
      <c r="N78" s="478"/>
      <c r="O78" s="478"/>
      <c r="P78" s="478"/>
      <c r="Q78" s="478"/>
      <c r="R78" s="478"/>
      <c r="S78" s="478"/>
      <c r="T78" s="478"/>
      <c r="U78" s="478"/>
      <c r="V78" s="478"/>
      <c r="W78" s="478"/>
      <c r="X78" s="478"/>
      <c r="Y78" s="478"/>
      <c r="Z78" s="478"/>
      <c r="AA78" s="478"/>
      <c r="AB78" s="478"/>
      <c r="AC78" s="478"/>
      <c r="AD78" s="478"/>
      <c r="AE78" s="478"/>
    </row>
  </sheetData>
  <mergeCells count="5">
    <mergeCell ref="C7:D7"/>
    <mergeCell ref="A1:D1"/>
    <mergeCell ref="A2:D2"/>
    <mergeCell ref="A5:D5"/>
    <mergeCell ref="A3:D3"/>
  </mergeCells>
  <phoneticPr fontId="9" type="noConversion"/>
  <printOptions horizontalCentered="1"/>
  <pageMargins left="0.75" right="0.75" top="1" bottom="1" header="0.5" footer="0.5"/>
  <pageSetup scale="87" orientation="portrait" r:id="rId1"/>
  <headerFooter alignWithMargins="0">
    <oddFooter>&amp;L&amp;F
&amp;A&amp;R&amp;P of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16">
    <tabColor rgb="FFC00000"/>
  </sheetPr>
  <dimension ref="A1:AC56"/>
  <sheetViews>
    <sheetView zoomScaleNormal="100" workbookViewId="0">
      <selection activeCell="D17" sqref="D17"/>
    </sheetView>
  </sheetViews>
  <sheetFormatPr defaultRowHeight="12.75"/>
  <cols>
    <col min="1" max="1" width="39" customWidth="1"/>
    <col min="2" max="2" width="12.85546875" bestFit="1" customWidth="1"/>
    <col min="3" max="3" width="11.28515625" bestFit="1" customWidth="1"/>
    <col min="4" max="4" width="12.28515625" bestFit="1" customWidth="1"/>
    <col min="5" max="5" width="9.28515625" bestFit="1" customWidth="1"/>
    <col min="6" max="6" width="12.85546875" bestFit="1" customWidth="1"/>
    <col min="7" max="7" width="11.28515625" bestFit="1" customWidth="1"/>
    <col min="8" max="8" width="10.28515625" bestFit="1" customWidth="1"/>
    <col min="9" max="9" width="11.28515625" bestFit="1" customWidth="1"/>
    <col min="10" max="10" width="12.85546875" customWidth="1"/>
    <col min="11" max="11" width="12.28515625" customWidth="1"/>
    <col min="12" max="12" width="12.28515625" bestFit="1" customWidth="1"/>
    <col min="13" max="13" width="10.28515625" bestFit="1" customWidth="1"/>
    <col min="14" max="14" width="12.85546875" customWidth="1"/>
    <col min="15" max="15" width="10" customWidth="1"/>
    <col min="16" max="17" width="10.28515625" bestFit="1" customWidth="1"/>
    <col min="18" max="18" width="12.85546875" bestFit="1" customWidth="1"/>
    <col min="19" max="20" width="12.28515625" bestFit="1" customWidth="1"/>
    <col min="21" max="21" width="11.28515625" bestFit="1" customWidth="1"/>
    <col min="22" max="22" width="12.85546875" bestFit="1" customWidth="1"/>
    <col min="23" max="25" width="10.28515625" customWidth="1"/>
    <col min="26" max="29" width="13.85546875" customWidth="1"/>
  </cols>
  <sheetData>
    <row r="1" spans="1:29" ht="18.75" thickBot="1">
      <c r="A1" s="841" t="s">
        <v>156</v>
      </c>
      <c r="B1" s="841"/>
      <c r="C1" s="841"/>
      <c r="D1" s="841"/>
      <c r="E1" s="841"/>
      <c r="F1" s="841"/>
      <c r="G1" s="841"/>
      <c r="H1" s="841"/>
      <c r="I1" s="841"/>
      <c r="J1" s="841"/>
      <c r="K1" s="841"/>
      <c r="L1" s="841"/>
      <c r="M1" s="841"/>
      <c r="N1" s="841"/>
      <c r="O1" s="841"/>
      <c r="P1" s="841"/>
      <c r="Q1" s="841"/>
      <c r="R1" s="841"/>
      <c r="S1" s="841"/>
      <c r="T1" s="841"/>
      <c r="U1" s="841"/>
      <c r="V1" s="841"/>
      <c r="W1" s="841"/>
      <c r="X1" s="841"/>
      <c r="Y1" s="841"/>
    </row>
    <row r="2" spans="1:29" ht="13.5" thickBot="1">
      <c r="A2" s="131"/>
      <c r="B2" s="834" t="s">
        <v>132</v>
      </c>
      <c r="C2" s="835"/>
      <c r="D2" s="835"/>
      <c r="E2" s="835"/>
      <c r="F2" s="835"/>
      <c r="G2" s="835"/>
      <c r="H2" s="835"/>
      <c r="I2" s="835"/>
      <c r="J2" s="835"/>
      <c r="K2" s="835"/>
      <c r="L2" s="835"/>
      <c r="M2" s="835"/>
      <c r="N2" s="835"/>
      <c r="O2" s="835"/>
      <c r="P2" s="835"/>
      <c r="Q2" s="835"/>
      <c r="R2" s="835"/>
      <c r="S2" s="835"/>
      <c r="T2" s="835"/>
      <c r="U2" s="837"/>
      <c r="V2" s="834" t="s">
        <v>133</v>
      </c>
      <c r="W2" s="835"/>
      <c r="X2" s="835"/>
      <c r="Y2" s="837"/>
      <c r="Z2" s="834" t="s">
        <v>155</v>
      </c>
      <c r="AA2" s="835"/>
      <c r="AB2" s="835"/>
      <c r="AC2" s="837"/>
    </row>
    <row r="3" spans="1:29">
      <c r="A3" s="196"/>
      <c r="B3" s="842" t="s">
        <v>127</v>
      </c>
      <c r="C3" s="843"/>
      <c r="D3" s="843"/>
      <c r="E3" s="844"/>
      <c r="F3" s="842" t="s">
        <v>114</v>
      </c>
      <c r="G3" s="843"/>
      <c r="H3" s="843"/>
      <c r="I3" s="844"/>
      <c r="J3" s="842" t="s">
        <v>115</v>
      </c>
      <c r="K3" s="843"/>
      <c r="L3" s="843"/>
      <c r="M3" s="844"/>
      <c r="N3" s="842" t="s">
        <v>113</v>
      </c>
      <c r="O3" s="843"/>
      <c r="P3" s="843"/>
      <c r="Q3" s="844"/>
      <c r="R3" s="836" t="s">
        <v>138</v>
      </c>
      <c r="S3" s="843"/>
      <c r="T3" s="843"/>
      <c r="U3" s="844"/>
      <c r="V3" s="345"/>
      <c r="W3" s="346"/>
      <c r="X3" s="346"/>
      <c r="Y3" s="347"/>
      <c r="Z3" s="345"/>
      <c r="AA3" s="346"/>
      <c r="AB3" s="346"/>
      <c r="AC3" s="347"/>
    </row>
    <row r="4" spans="1:29" ht="13.5" thickBot="1">
      <c r="A4" s="102" t="s">
        <v>4</v>
      </c>
      <c r="B4" s="348" t="s">
        <v>36</v>
      </c>
      <c r="C4" s="349" t="s">
        <v>37</v>
      </c>
      <c r="D4" s="349" t="s">
        <v>38</v>
      </c>
      <c r="E4" s="350" t="s">
        <v>41</v>
      </c>
      <c r="F4" s="348" t="s">
        <v>36</v>
      </c>
      <c r="G4" s="349" t="s">
        <v>37</v>
      </c>
      <c r="H4" s="349" t="s">
        <v>38</v>
      </c>
      <c r="I4" s="350" t="s">
        <v>41</v>
      </c>
      <c r="J4" s="348" t="s">
        <v>36</v>
      </c>
      <c r="K4" s="349" t="s">
        <v>37</v>
      </c>
      <c r="L4" s="349" t="s">
        <v>40</v>
      </c>
      <c r="M4" s="350" t="s">
        <v>41</v>
      </c>
      <c r="N4" s="348" t="s">
        <v>36</v>
      </c>
      <c r="O4" s="349" t="s">
        <v>37</v>
      </c>
      <c r="P4" s="349" t="s">
        <v>40</v>
      </c>
      <c r="Q4" s="350" t="s">
        <v>41</v>
      </c>
      <c r="R4" s="348" t="s">
        <v>36</v>
      </c>
      <c r="S4" s="349" t="s">
        <v>37</v>
      </c>
      <c r="T4" s="349" t="s">
        <v>38</v>
      </c>
      <c r="U4" s="350" t="s">
        <v>41</v>
      </c>
      <c r="V4" s="348" t="s">
        <v>36</v>
      </c>
      <c r="W4" s="349" t="s">
        <v>37</v>
      </c>
      <c r="X4" s="349" t="s">
        <v>40</v>
      </c>
      <c r="Y4" s="350" t="s">
        <v>41</v>
      </c>
      <c r="Z4" s="348" t="s">
        <v>36</v>
      </c>
      <c r="AA4" s="349" t="s">
        <v>37</v>
      </c>
      <c r="AB4" s="349" t="s">
        <v>40</v>
      </c>
      <c r="AC4" s="350" t="s">
        <v>41</v>
      </c>
    </row>
    <row r="5" spans="1:29">
      <c r="A5" s="133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5" t="s">
        <v>42</v>
      </c>
      <c r="K5" s="6" t="s">
        <v>42</v>
      </c>
      <c r="L5" s="6" t="s">
        <v>42</v>
      </c>
      <c r="M5" s="7" t="s">
        <v>43</v>
      </c>
      <c r="N5" s="5" t="s">
        <v>42</v>
      </c>
      <c r="O5" s="6" t="s">
        <v>42</v>
      </c>
      <c r="P5" s="6" t="s">
        <v>42</v>
      </c>
      <c r="Q5" s="7" t="s">
        <v>43</v>
      </c>
      <c r="R5" s="5" t="s">
        <v>42</v>
      </c>
      <c r="S5" s="6" t="s">
        <v>42</v>
      </c>
      <c r="T5" s="6" t="s">
        <v>42</v>
      </c>
      <c r="U5" s="7" t="s">
        <v>43</v>
      </c>
      <c r="V5" s="132" t="s">
        <v>42</v>
      </c>
      <c r="W5" s="8" t="s">
        <v>42</v>
      </c>
      <c r="X5" s="8" t="s">
        <v>42</v>
      </c>
      <c r="Y5" s="9" t="s">
        <v>43</v>
      </c>
      <c r="Z5" s="132" t="s">
        <v>42</v>
      </c>
      <c r="AA5" s="8" t="s">
        <v>42</v>
      </c>
      <c r="AB5" s="8" t="s">
        <v>42</v>
      </c>
      <c r="AC5" s="9" t="s">
        <v>43</v>
      </c>
    </row>
    <row r="6" spans="1:29">
      <c r="A6" s="112"/>
      <c r="B6" s="132"/>
      <c r="C6" s="8"/>
      <c r="D6" s="8"/>
      <c r="E6" s="9"/>
      <c r="F6" s="132"/>
      <c r="G6" s="8"/>
      <c r="H6" s="8"/>
      <c r="I6" s="9"/>
      <c r="J6" s="132"/>
      <c r="K6" s="8"/>
      <c r="L6" s="8"/>
      <c r="M6" s="9"/>
      <c r="N6" s="132"/>
      <c r="O6" s="8"/>
      <c r="P6" s="8"/>
      <c r="Q6" s="9"/>
      <c r="R6" s="132"/>
      <c r="S6" s="8"/>
      <c r="T6" s="8"/>
      <c r="U6" s="9"/>
      <c r="V6" s="132"/>
      <c r="W6" s="8"/>
      <c r="X6" s="8"/>
      <c r="Y6" s="9"/>
      <c r="Z6" s="132"/>
      <c r="AA6" s="8"/>
      <c r="AB6" s="8"/>
      <c r="AC6" s="9"/>
    </row>
    <row r="7" spans="1:29">
      <c r="A7" s="153" t="s">
        <v>5</v>
      </c>
      <c r="B7" s="137">
        <f>'Resid Cust Fcst '!$BM8*'Resid TSM UC Adj'!B7</f>
        <v>43188.82448444514</v>
      </c>
      <c r="C7" s="23">
        <f>'Resid Cust Fcst '!$BM8*'Resid TSM UC Adj'!C7</f>
        <v>24413.491697167745</v>
      </c>
      <c r="D7" s="23">
        <f>'Resid Cust Fcst '!$BM8*'Resid TSM UC Adj'!D7</f>
        <v>43338.826932126693</v>
      </c>
      <c r="E7" s="45">
        <f>IF(SUM(B7:D7)=0,0,SUM(B7:D7)/'Resid Cust Fcst '!BM8)</f>
        <v>630.34740405533853</v>
      </c>
      <c r="F7" s="137">
        <f>'Resid Cust Fcst '!$BN8*'Resid TSM UC Adj'!F7</f>
        <v>0</v>
      </c>
      <c r="G7" s="23">
        <f>'Resid Cust Fcst '!$BN8*'Resid TSM UC Adj'!G7</f>
        <v>0</v>
      </c>
      <c r="H7" s="23">
        <f>'Resid Cust Fcst '!$BN8*'Resid TSM UC Adj'!H7</f>
        <v>0</v>
      </c>
      <c r="I7" s="45">
        <f>IF(SUM(F7:H7)=0,0,SUM(F7:H7)/'Resid Cust Fcst '!BN8)</f>
        <v>0</v>
      </c>
      <c r="J7" s="137">
        <f>'Resid Cust Fcst '!$BO8*'Resid TSM UC Adj'!J7</f>
        <v>0</v>
      </c>
      <c r="K7" s="23">
        <f>'Resid Cust Fcst '!$BO8*'Resid TSM UC Adj'!K7</f>
        <v>0</v>
      </c>
      <c r="L7" s="23">
        <f>'Resid Cust Fcst '!$BO8*'Resid TSM UC Adj'!L7</f>
        <v>0</v>
      </c>
      <c r="M7" s="45">
        <f>IF(SUM(J7:L7)=0,0,SUM(J7:L7)/'Resid Cust Fcst '!BO8)</f>
        <v>0</v>
      </c>
      <c r="N7" s="137">
        <f>'Resid Cust Fcst '!$BP8*'Resid TSM UC Adj'!N7</f>
        <v>0</v>
      </c>
      <c r="O7" s="23">
        <f>'Resid Cust Fcst '!$BP8*'Resid TSM UC Adj'!O7</f>
        <v>0</v>
      </c>
      <c r="P7" s="23">
        <f>'Resid Cust Fcst '!$BP8*'Resid TSM UC Adj'!P7</f>
        <v>0</v>
      </c>
      <c r="Q7" s="45">
        <f>IF(SUM(N7:P7)=0,0,SUM(N7:P7)/'Resid Cust Fcst '!BP8)</f>
        <v>0</v>
      </c>
      <c r="R7" s="137">
        <f>B7+F7+J7+N7</f>
        <v>43188.82448444514</v>
      </c>
      <c r="S7" s="23">
        <f t="shared" ref="S7:T22" si="0">C7+G7+K7+O7</f>
        <v>24413.491697167745</v>
      </c>
      <c r="T7" s="23">
        <f t="shared" si="0"/>
        <v>43338.826932126693</v>
      </c>
      <c r="U7" s="45">
        <f>IF(SUM(R7:T7)=0,0,SUM(R7:T7)/'Resid Cust Fcst '!BQ8)</f>
        <v>630.34740405533853</v>
      </c>
      <c r="V7" s="137">
        <f>'Resid Cust Fcst '!$BR8*'Resid TSM UC Adj'!R7</f>
        <v>0</v>
      </c>
      <c r="W7" s="23">
        <f>'Resid Cust Fcst '!$BR8*'Resid TSM UC Adj'!S7</f>
        <v>0</v>
      </c>
      <c r="X7" s="23">
        <f>'Resid Cust Fcst '!$BR8*'Resid TSM UC Adj'!T7</f>
        <v>0</v>
      </c>
      <c r="Y7" s="45">
        <f>IF(SUM(V7:X7)=0,0,SUM(V7:X7)/'Resid Cust Fcst '!BR8)</f>
        <v>0</v>
      </c>
      <c r="Z7" s="137">
        <f>R7+V7</f>
        <v>43188.82448444514</v>
      </c>
      <c r="AA7" s="23">
        <f t="shared" ref="AA7:AB22" si="1">S7+W7</f>
        <v>24413.491697167745</v>
      </c>
      <c r="AB7" s="23">
        <f t="shared" si="1"/>
        <v>43338.826932126693</v>
      </c>
      <c r="AC7" s="45">
        <f>IF(SUM(Z7:AB7)=0,0,SUM(Z7:AB7)/'Resid Cust Fcst '!BS8)</f>
        <v>630.34740405533853</v>
      </c>
    </row>
    <row r="8" spans="1:29">
      <c r="A8" s="155" t="s">
        <v>6</v>
      </c>
      <c r="B8" s="137">
        <f>'Resid Cust Fcst '!$BM9*'Resid TSM UC Adj'!B8</f>
        <v>1870230.3459782049</v>
      </c>
      <c r="C8" s="23">
        <f>'Resid Cust Fcst '!$BM9*'Resid TSM UC Adj'!C8</f>
        <v>336379.07594108966</v>
      </c>
      <c r="D8" s="23">
        <f>'Resid Cust Fcst '!$BM9*'Resid TSM UC Adj'!D8</f>
        <v>597140.08699095016</v>
      </c>
      <c r="E8" s="45">
        <f>IF(SUM(B8:D8)=0,0,SUM(B8:D8)/'Resid Cust Fcst '!BM9)</f>
        <v>1156.1853644990699</v>
      </c>
      <c r="F8" s="137">
        <f>'Resid Cust Fcst '!$BN9*'Resid TSM UC Adj'!F8</f>
        <v>872.94432902334779</v>
      </c>
      <c r="G8" s="23">
        <f>'Resid Cust Fcst '!$BN9*'Resid TSM UC Adj'!G8</f>
        <v>754.14273000301057</v>
      </c>
      <c r="H8" s="23">
        <f>'Resid Cust Fcst '!$BN9*'Resid TSM UC Adj'!H8</f>
        <v>373.18</v>
      </c>
      <c r="I8" s="45">
        <f>IF(SUM(F8:H8)=0,0,SUM(F8:H8)/'Resid Cust Fcst '!BN9)</f>
        <v>2000.2670590263585</v>
      </c>
      <c r="J8" s="137">
        <f>'Resid Cust Fcst '!$BO9*'Resid TSM UC Adj'!J8</f>
        <v>917.870117202095</v>
      </c>
      <c r="K8" s="23">
        <f>'Resid Cust Fcst '!$BO9*'Resid TSM UC Adj'!K8</f>
        <v>754.14273000301057</v>
      </c>
      <c r="L8" s="23">
        <f>'Resid Cust Fcst '!$BO9*'Resid TSM UC Adj'!L8</f>
        <v>373.18</v>
      </c>
      <c r="M8" s="45">
        <f>IF(SUM(J8:L8)=0,0,SUM(J8:L8)/'Resid Cust Fcst '!BO9)</f>
        <v>2045.1928472051056</v>
      </c>
      <c r="N8" s="137">
        <f>'Resid Cust Fcst '!$BP9*'Resid TSM UC Adj'!N8</f>
        <v>0</v>
      </c>
      <c r="O8" s="23">
        <f>'Resid Cust Fcst '!$BP9*'Resid TSM UC Adj'!O8</f>
        <v>0</v>
      </c>
      <c r="P8" s="23">
        <f>'Resid Cust Fcst '!$BP9*'Resid TSM UC Adj'!P8</f>
        <v>0</v>
      </c>
      <c r="Q8" s="45">
        <f>IF(SUM(N8:P8)=0,0,SUM(N8:P8)/'Resid Cust Fcst '!BP9)</f>
        <v>0</v>
      </c>
      <c r="R8" s="137">
        <f t="shared" ref="R8:T37" si="2">B8+F8+J8+N8</f>
        <v>1872021.1604244304</v>
      </c>
      <c r="S8" s="23">
        <f t="shared" si="0"/>
        <v>337887.36140109564</v>
      </c>
      <c r="T8" s="23">
        <f t="shared" si="0"/>
        <v>597886.44699095027</v>
      </c>
      <c r="U8" s="45">
        <f>IF(SUM(R8:T8)=0,0,SUM(R8:T8)/'Resid Cust Fcst '!BQ9)</f>
        <v>1156.8994515107029</v>
      </c>
      <c r="V8" s="137">
        <f>'Resid Cust Fcst '!$BR9*'Resid TSM UC Adj'!R8</f>
        <v>0</v>
      </c>
      <c r="W8" s="23">
        <f>'Resid Cust Fcst '!$BR9*'Resid TSM UC Adj'!S8</f>
        <v>0</v>
      </c>
      <c r="X8" s="23">
        <f>'Resid Cust Fcst '!$BR9*'Resid TSM UC Adj'!T8</f>
        <v>0</v>
      </c>
      <c r="Y8" s="45">
        <f>IF(SUM(V8:X8)=0,0,SUM(V8:X8)/'Resid Cust Fcst '!BR9)</f>
        <v>0</v>
      </c>
      <c r="Z8" s="137">
        <f t="shared" ref="Z8:AB37" si="3">R8+V8</f>
        <v>1872021.1604244304</v>
      </c>
      <c r="AA8" s="23">
        <f t="shared" si="1"/>
        <v>337887.36140109564</v>
      </c>
      <c r="AB8" s="23">
        <f t="shared" si="1"/>
        <v>597886.44699095027</v>
      </c>
      <c r="AC8" s="45">
        <f>IF(SUM(Z8:AB8)=0,0,SUM(Z8:AB8)/'Resid Cust Fcst '!BS9)</f>
        <v>1156.8994515107029</v>
      </c>
    </row>
    <row r="9" spans="1:29">
      <c r="A9" s="155" t="s">
        <v>7</v>
      </c>
      <c r="B9" s="137">
        <f>'Resid Cust Fcst '!$BM10*'Resid TSM UC Adj'!B9</f>
        <v>2361214.0136105241</v>
      </c>
      <c r="C9" s="23">
        <f>'Resid Cust Fcst '!$BM10*'Resid TSM UC Adj'!C9</f>
        <v>684132.49975443108</v>
      </c>
      <c r="D9" s="23">
        <f>'Resid Cust Fcst '!$BM10*'Resid TSM UC Adj'!D9</f>
        <v>861605.42861085967</v>
      </c>
      <c r="E9" s="45">
        <f>IF(SUM(B9:D9)=0,0,SUM(B9:D9)/'Resid Cust Fcst '!BM10)</f>
        <v>1116.5910094243541</v>
      </c>
      <c r="F9" s="137">
        <f>'Resid Cust Fcst '!$BN10*'Resid TSM UC Adj'!F9</f>
        <v>1745.8886580466956</v>
      </c>
      <c r="G9" s="23">
        <f>'Resid Cust Fcst '!$BN10*'Resid TSM UC Adj'!G9</f>
        <v>888.28562532861781</v>
      </c>
      <c r="H9" s="23">
        <f>'Resid Cust Fcst '!$BN10*'Resid TSM UC Adj'!H9</f>
        <v>373.18</v>
      </c>
      <c r="I9" s="45">
        <f>IF(SUM(F9:H9)=0,0,SUM(F9:H9)/'Resid Cust Fcst '!BN10)</f>
        <v>3007.3542833753131</v>
      </c>
      <c r="J9" s="137">
        <f>'Resid Cust Fcst '!$BO10*'Resid TSM UC Adj'!J9</f>
        <v>1835.74023440419</v>
      </c>
      <c r="K9" s="23">
        <f>'Resid Cust Fcst '!$BO10*'Resid TSM UC Adj'!K9</f>
        <v>888.28562532861781</v>
      </c>
      <c r="L9" s="23">
        <f>'Resid Cust Fcst '!$BO10*'Resid TSM UC Adj'!L9</f>
        <v>373.18</v>
      </c>
      <c r="M9" s="45">
        <f>IF(SUM(J9:L9)=0,0,SUM(J9:L9)/'Resid Cust Fcst '!BO10)</f>
        <v>3097.2058597328078</v>
      </c>
      <c r="N9" s="137">
        <f>'Resid Cust Fcst '!$BP10*'Resid TSM UC Adj'!N9</f>
        <v>0</v>
      </c>
      <c r="O9" s="23">
        <f>'Resid Cust Fcst '!$BP10*'Resid TSM UC Adj'!O9</f>
        <v>0</v>
      </c>
      <c r="P9" s="23">
        <f>'Resid Cust Fcst '!$BP10*'Resid TSM UC Adj'!P9</f>
        <v>0</v>
      </c>
      <c r="Q9" s="45">
        <f>IF(SUM(N9:P9)=0,0,SUM(N9:P9)/'Resid Cust Fcst '!BP10)</f>
        <v>0</v>
      </c>
      <c r="R9" s="137">
        <f t="shared" si="2"/>
        <v>2364795.6425029752</v>
      </c>
      <c r="S9" s="23">
        <f t="shared" si="0"/>
        <v>685909.07100508839</v>
      </c>
      <c r="T9" s="23">
        <f t="shared" si="0"/>
        <v>862351.78861085977</v>
      </c>
      <c r="U9" s="45">
        <f>IF(SUM(R9:T9)=0,0,SUM(R9:T9)/'Resid Cust Fcst '!BQ10)</f>
        <v>1117.6968015192583</v>
      </c>
      <c r="V9" s="137">
        <f>'Resid Cust Fcst '!$BR10*'Resid TSM UC Adj'!R9</f>
        <v>0</v>
      </c>
      <c r="W9" s="23">
        <f>'Resid Cust Fcst '!$BR10*'Resid TSM UC Adj'!S9</f>
        <v>0</v>
      </c>
      <c r="X9" s="23">
        <f>'Resid Cust Fcst '!$BR10*'Resid TSM UC Adj'!T9</f>
        <v>0</v>
      </c>
      <c r="Y9" s="45">
        <f>IF(SUM(V9:X9)=0,0,SUM(V9:X9)/'Resid Cust Fcst '!BR10)</f>
        <v>0</v>
      </c>
      <c r="Z9" s="137">
        <f t="shared" si="3"/>
        <v>2364795.6425029752</v>
      </c>
      <c r="AA9" s="23">
        <f t="shared" si="1"/>
        <v>685909.07100508839</v>
      </c>
      <c r="AB9" s="23">
        <f t="shared" si="1"/>
        <v>862351.78861085977</v>
      </c>
      <c r="AC9" s="45">
        <f>IF(SUM(Z9:AB9)=0,0,SUM(Z9:AB9)/'Resid Cust Fcst '!BS10)</f>
        <v>1117.6968015192583</v>
      </c>
    </row>
    <row r="10" spans="1:29" s="58" customFormat="1">
      <c r="A10" s="288" t="s">
        <v>124</v>
      </c>
      <c r="B10" s="137">
        <f>'Resid Cust Fcst '!$BM11*'Resid TSM UC Adj'!B10</f>
        <v>2105455.1936167004</v>
      </c>
      <c r="C10" s="23">
        <f>'Resid Cust Fcst '!$BM11*'Resid TSM UC Adj'!C10</f>
        <v>333421.60515932541</v>
      </c>
      <c r="D10" s="23">
        <f>'Resid Cust Fcst '!$BM11*'Resid TSM UC Adj'!D10</f>
        <v>384139.60235294118</v>
      </c>
      <c r="E10" s="45">
        <f>IF(SUM(B10:D10)=0,0,SUM(B10:D10)/'Resid Cust Fcst '!BM11)</f>
        <v>1809.6258981595945</v>
      </c>
      <c r="F10" s="137">
        <f>'Resid Cust Fcst '!$BN11*'Resid TSM UC Adj'!F10</f>
        <v>1979.5343746713816</v>
      </c>
      <c r="G10" s="23">
        <f>'Resid Cust Fcst '!$BN11*'Resid TSM UC Adj'!G10</f>
        <v>888.28562532861781</v>
      </c>
      <c r="H10" s="23">
        <f>'Resid Cust Fcst '!$BN11*'Resid TSM UC Adj'!H10</f>
        <v>373.18</v>
      </c>
      <c r="I10" s="45">
        <f>IF(SUM(F10:H10)=0,0,SUM(F10:H10)/'Resid Cust Fcst '!BN11)</f>
        <v>3240.9999999999991</v>
      </c>
      <c r="J10" s="137">
        <f>'Resid Cust Fcst '!$BO11*'Resid TSM UC Adj'!J10</f>
        <v>1979.5343746713816</v>
      </c>
      <c r="K10" s="23">
        <f>'Resid Cust Fcst '!$BO11*'Resid TSM UC Adj'!K10</f>
        <v>888.28562532861781</v>
      </c>
      <c r="L10" s="23">
        <f>'Resid Cust Fcst '!$BO11*'Resid TSM UC Adj'!L10</f>
        <v>373.18</v>
      </c>
      <c r="M10" s="45">
        <f>IF(SUM(J10:L10)=0,0,SUM(J10:L10)/'Resid Cust Fcst '!BO11)</f>
        <v>3240.9999999999991</v>
      </c>
      <c r="N10" s="137">
        <f>'Resid Cust Fcst '!$BP11*'Resid TSM UC Adj'!N10</f>
        <v>0</v>
      </c>
      <c r="O10" s="23">
        <f>'Resid Cust Fcst '!$BP11*'Resid TSM UC Adj'!O10</f>
        <v>0</v>
      </c>
      <c r="P10" s="23">
        <f>'Resid Cust Fcst '!$BP11*'Resid TSM UC Adj'!P10</f>
        <v>0</v>
      </c>
      <c r="Q10" s="45">
        <f>IF(SUM(N10:P10)=0,0,SUM(N10:P10)/'Resid Cust Fcst '!BP11)</f>
        <v>0</v>
      </c>
      <c r="R10" s="137">
        <f t="shared" si="2"/>
        <v>2109414.2623660434</v>
      </c>
      <c r="S10" s="23">
        <f t="shared" si="0"/>
        <v>335198.17640998261</v>
      </c>
      <c r="T10" s="23">
        <f t="shared" si="0"/>
        <v>384885.96235294116</v>
      </c>
      <c r="U10" s="45">
        <f>IF(SUM(R10:T10)=0,0,SUM(R10:T10)/'Resid Cust Fcst '!BQ11)</f>
        <v>1811.4586434884554</v>
      </c>
      <c r="V10" s="137">
        <f>'Resid Cust Fcst '!$BR11*'Resid TSM UC Adj'!R10</f>
        <v>0</v>
      </c>
      <c r="W10" s="23">
        <f>'Resid Cust Fcst '!$BR11*'Resid TSM UC Adj'!S10</f>
        <v>0</v>
      </c>
      <c r="X10" s="23">
        <f>'Resid Cust Fcst '!$BR11*'Resid TSM UC Adj'!T10</f>
        <v>0</v>
      </c>
      <c r="Y10" s="45">
        <f>IF(SUM(V10:X10)=0,0,SUM(V10:X10)/'Resid Cust Fcst '!BR11)</f>
        <v>0</v>
      </c>
      <c r="Z10" s="137">
        <f t="shared" si="3"/>
        <v>2109414.2623660434</v>
      </c>
      <c r="AA10" s="23">
        <f t="shared" si="1"/>
        <v>335198.17640998261</v>
      </c>
      <c r="AB10" s="23">
        <f t="shared" si="1"/>
        <v>384885.96235294116</v>
      </c>
      <c r="AC10" s="45">
        <f>IF(SUM(Z10:AB10)=0,0,SUM(Z10:AB10)/'Resid Cust Fcst '!BS11)</f>
        <v>1811.4586434884554</v>
      </c>
    </row>
    <row r="11" spans="1:29">
      <c r="A11" s="153" t="s">
        <v>116</v>
      </c>
      <c r="B11" s="137">
        <f>'Resid Cust Fcst '!$BM12*'Resid TSM UC Adj'!B11</f>
        <v>415692.4356627845</v>
      </c>
      <c r="C11" s="23">
        <f>'Resid Cust Fcst '!$BM12*'Resid TSM UC Adj'!C11</f>
        <v>65829.393839148863</v>
      </c>
      <c r="D11" s="23">
        <f>'Resid Cust Fcst '!$BM12*'Resid TSM UC Adj'!D11</f>
        <v>75842.947131221721</v>
      </c>
      <c r="E11" s="45">
        <f>IF(SUM(B11:D11)=0,0,SUM(B11:D11)/'Resid Cust Fcst '!BM12)</f>
        <v>1809.6258981595943</v>
      </c>
      <c r="F11" s="137">
        <f>'Resid Cust Fcst '!$BN12*'Resid TSM UC Adj'!F11</f>
        <v>0</v>
      </c>
      <c r="G11" s="23">
        <f>'Resid Cust Fcst '!$BN12*'Resid TSM UC Adj'!G11</f>
        <v>0</v>
      </c>
      <c r="H11" s="23">
        <f>'Resid Cust Fcst '!$BN12*'Resid TSM UC Adj'!H11</f>
        <v>0</v>
      </c>
      <c r="I11" s="45">
        <f>IF(SUM(F11:H11)=0,0,SUM(F11:H11)/'Resid Cust Fcst '!BN12)</f>
        <v>0</v>
      </c>
      <c r="J11" s="137">
        <f>'Resid Cust Fcst '!$BO12*'Resid TSM UC Adj'!J11</f>
        <v>0</v>
      </c>
      <c r="K11" s="23">
        <f>'Resid Cust Fcst '!$BO12*'Resid TSM UC Adj'!K11</f>
        <v>0</v>
      </c>
      <c r="L11" s="23">
        <f>'Resid Cust Fcst '!$BO12*'Resid TSM UC Adj'!L11</f>
        <v>0</v>
      </c>
      <c r="M11" s="45">
        <f>IF(SUM(J11:L11)=0,0,SUM(J11:L11)/'Resid Cust Fcst '!BO12)</f>
        <v>0</v>
      </c>
      <c r="N11" s="137">
        <f>'Resid Cust Fcst '!$BP12*'Resid TSM UC Adj'!N11</f>
        <v>0</v>
      </c>
      <c r="O11" s="23">
        <f>'Resid Cust Fcst '!$BP12*'Resid TSM UC Adj'!O11</f>
        <v>0</v>
      </c>
      <c r="P11" s="23">
        <f>'Resid Cust Fcst '!$BP12*'Resid TSM UC Adj'!P11</f>
        <v>0</v>
      </c>
      <c r="Q11" s="45">
        <f>IF(SUM(N11:P11)=0,0,SUM(N11:P11)/'Resid Cust Fcst '!BP12)</f>
        <v>0</v>
      </c>
      <c r="R11" s="137">
        <f t="shared" si="2"/>
        <v>415692.4356627845</v>
      </c>
      <c r="S11" s="23">
        <f t="shared" si="0"/>
        <v>65829.393839148863</v>
      </c>
      <c r="T11" s="23">
        <f t="shared" si="0"/>
        <v>75842.947131221721</v>
      </c>
      <c r="U11" s="45">
        <f>IF(SUM(R11:T11)=0,0,SUM(R11:T11)/'Resid Cust Fcst '!BQ12)</f>
        <v>1809.6258981595943</v>
      </c>
      <c r="V11" s="137">
        <f>'Resid Cust Fcst '!$BR12*'Resid TSM UC Adj'!R11</f>
        <v>0</v>
      </c>
      <c r="W11" s="23">
        <f>'Resid Cust Fcst '!$BR12*'Resid TSM UC Adj'!S11</f>
        <v>0</v>
      </c>
      <c r="X11" s="23">
        <f>'Resid Cust Fcst '!$BR12*'Resid TSM UC Adj'!T11</f>
        <v>0</v>
      </c>
      <c r="Y11" s="45">
        <f>IF(SUM(V11:X11)=0,0,SUM(V11:X11)/'Resid Cust Fcst '!BR12)</f>
        <v>0</v>
      </c>
      <c r="Z11" s="137">
        <f t="shared" si="3"/>
        <v>415692.4356627845</v>
      </c>
      <c r="AA11" s="23">
        <f t="shared" si="1"/>
        <v>65829.393839148863</v>
      </c>
      <c r="AB11" s="23">
        <f t="shared" si="1"/>
        <v>75842.947131221721</v>
      </c>
      <c r="AC11" s="45">
        <f>IF(SUM(Z11:AB11)=0,0,SUM(Z11:AB11)/'Resid Cust Fcst '!BS12)</f>
        <v>1809.6258981595943</v>
      </c>
    </row>
    <row r="12" spans="1:29">
      <c r="A12" s="153" t="s">
        <v>8</v>
      </c>
      <c r="B12" s="137">
        <f>'Resid Cust Fcst '!$BM13*'Resid TSM UC Adj'!B12</f>
        <v>387154.60824548884</v>
      </c>
      <c r="C12" s="23">
        <f>'Resid Cust Fcst '!$BM13*'Resid TSM UC Adj'!C12</f>
        <v>137579.26690766521</v>
      </c>
      <c r="D12" s="23">
        <f>'Resid Cust Fcst '!$BM13*'Resid TSM UC Adj'!D12</f>
        <v>65746.970402714927</v>
      </c>
      <c r="E12" s="45">
        <f>IF(SUM(B12:D12)=0,0,SUM(B12:D12)/'Resid Cust Fcst '!BM13)</f>
        <v>2211.5387474002582</v>
      </c>
      <c r="F12" s="137">
        <f>'Resid Cust Fcst '!$BN13*'Resid TSM UC Adj'!F12</f>
        <v>0</v>
      </c>
      <c r="G12" s="23">
        <f>'Resid Cust Fcst '!$BN13*'Resid TSM UC Adj'!G12</f>
        <v>0</v>
      </c>
      <c r="H12" s="23">
        <f>'Resid Cust Fcst '!$BN13*'Resid TSM UC Adj'!H12</f>
        <v>0</v>
      </c>
      <c r="I12" s="45">
        <f>IF(SUM(F12:H12)=0,0,SUM(F12:H12)/'Resid Cust Fcst '!BN13)</f>
        <v>0</v>
      </c>
      <c r="J12" s="137">
        <f>'Resid Cust Fcst '!$BO13*'Resid TSM UC Adj'!J12</f>
        <v>3422.497168040336</v>
      </c>
      <c r="K12" s="23">
        <f>'Resid Cust Fcst '!$BO13*'Resid TSM UC Adj'!K12</f>
        <v>2313.1428319596644</v>
      </c>
      <c r="L12" s="23">
        <f>'Resid Cust Fcst '!$BO13*'Resid TSM UC Adj'!L12</f>
        <v>746.36</v>
      </c>
      <c r="M12" s="45">
        <f>IF(SUM(J12:L12)=0,0,SUM(J12:L12)/'Resid Cust Fcst '!BO13)</f>
        <v>3241</v>
      </c>
      <c r="N12" s="137">
        <f>'Resid Cust Fcst '!$BP13*'Resid TSM UC Adj'!N12</f>
        <v>0</v>
      </c>
      <c r="O12" s="23">
        <f>'Resid Cust Fcst '!$BP13*'Resid TSM UC Adj'!O12</f>
        <v>0</v>
      </c>
      <c r="P12" s="23">
        <f>'Resid Cust Fcst '!$BP13*'Resid TSM UC Adj'!P12</f>
        <v>0</v>
      </c>
      <c r="Q12" s="45">
        <f>IF(SUM(N12:P12)=0,0,SUM(N12:P12)/'Resid Cust Fcst '!BP13)</f>
        <v>0</v>
      </c>
      <c r="R12" s="137">
        <f t="shared" si="2"/>
        <v>390577.10541352915</v>
      </c>
      <c r="S12" s="23">
        <f t="shared" si="0"/>
        <v>139892.40973962488</v>
      </c>
      <c r="T12" s="23">
        <f t="shared" si="0"/>
        <v>66493.330402714928</v>
      </c>
      <c r="U12" s="45">
        <f>IF(SUM(R12:T12)=0,0,SUM(R12:T12)/'Resid Cust Fcst '!BQ13)</f>
        <v>2219.1927344084347</v>
      </c>
      <c r="V12" s="137">
        <f>'Resid Cust Fcst '!$BR13*'Resid TSM UC Adj'!R12</f>
        <v>0</v>
      </c>
      <c r="W12" s="23">
        <f>'Resid Cust Fcst '!$BR13*'Resid TSM UC Adj'!S12</f>
        <v>0</v>
      </c>
      <c r="X12" s="23">
        <f>'Resid Cust Fcst '!$BR13*'Resid TSM UC Adj'!T12</f>
        <v>0</v>
      </c>
      <c r="Y12" s="45">
        <f>IF(SUM(V12:X12)=0,0,SUM(V12:X12)/'Resid Cust Fcst '!BR13)</f>
        <v>0</v>
      </c>
      <c r="Z12" s="137">
        <f t="shared" si="3"/>
        <v>390577.10541352915</v>
      </c>
      <c r="AA12" s="23">
        <f t="shared" si="1"/>
        <v>139892.40973962488</v>
      </c>
      <c r="AB12" s="23">
        <f t="shared" si="1"/>
        <v>66493.330402714928</v>
      </c>
      <c r="AC12" s="45">
        <f>IF(SUM(Z12:AB12)=0,0,SUM(Z12:AB12)/'Resid Cust Fcst '!BS13)</f>
        <v>2219.1927344084347</v>
      </c>
    </row>
    <row r="13" spans="1:29">
      <c r="A13" s="153" t="s">
        <v>9</v>
      </c>
      <c r="B13" s="137">
        <f>'Resid Cust Fcst '!$BM14*'Resid TSM UC Adj'!B13</f>
        <v>43291.659599399834</v>
      </c>
      <c r="C13" s="23">
        <f>'Resid Cust Fcst '!$BM14*'Resid TSM UC Adj'!C13</f>
        <v>16603.473703767577</v>
      </c>
      <c r="D13" s="23">
        <f>'Resid Cust Fcst '!$BM14*'Resid TSM UC Adj'!D13</f>
        <v>4924.8666968325788</v>
      </c>
      <c r="E13" s="45">
        <f>IF(SUM(B13:D13)=0,0,SUM(B13:D13)/'Resid Cust Fcst '!BM14)</f>
        <v>3240.9999999999995</v>
      </c>
      <c r="F13" s="137">
        <f>'Resid Cust Fcst '!$BN14*'Resid TSM UC Adj'!F13</f>
        <v>0</v>
      </c>
      <c r="G13" s="23">
        <f>'Resid Cust Fcst '!$BN14*'Resid TSM UC Adj'!G13</f>
        <v>0</v>
      </c>
      <c r="H13" s="23">
        <f>'Resid Cust Fcst '!$BN14*'Resid TSM UC Adj'!H13</f>
        <v>0</v>
      </c>
      <c r="I13" s="45">
        <f>IF(SUM(F13:H13)=0,0,SUM(F13:H13)/'Resid Cust Fcst '!BN14)</f>
        <v>0</v>
      </c>
      <c r="J13" s="137">
        <f>'Resid Cust Fcst '!$BO14*'Resid TSM UC Adj'!J13</f>
        <v>0</v>
      </c>
      <c r="K13" s="23">
        <f>'Resid Cust Fcst '!$BO14*'Resid TSM UC Adj'!K13</f>
        <v>0</v>
      </c>
      <c r="L13" s="23">
        <f>'Resid Cust Fcst '!$BO14*'Resid TSM UC Adj'!L13</f>
        <v>0</v>
      </c>
      <c r="M13" s="45">
        <f>IF(SUM(J13:L13)=0,0,SUM(J13:L13)/'Resid Cust Fcst '!BO14)</f>
        <v>0</v>
      </c>
      <c r="N13" s="137">
        <f>'Resid Cust Fcst '!$BP14*'Resid TSM UC Adj'!N13</f>
        <v>0</v>
      </c>
      <c r="O13" s="23">
        <f>'Resid Cust Fcst '!$BP14*'Resid TSM UC Adj'!O13</f>
        <v>0</v>
      </c>
      <c r="P13" s="23">
        <f>'Resid Cust Fcst '!$BP14*'Resid TSM UC Adj'!P13</f>
        <v>0</v>
      </c>
      <c r="Q13" s="45">
        <f>IF(SUM(N13:P13)=0,0,SUM(N13:P13)/'Resid Cust Fcst '!BP14)</f>
        <v>0</v>
      </c>
      <c r="R13" s="137">
        <f t="shared" si="2"/>
        <v>43291.659599399834</v>
      </c>
      <c r="S13" s="23">
        <f t="shared" si="0"/>
        <v>16603.473703767577</v>
      </c>
      <c r="T13" s="23">
        <f t="shared" si="0"/>
        <v>4924.8666968325788</v>
      </c>
      <c r="U13" s="45">
        <f>IF(SUM(R13:T13)=0,0,SUM(R13:T13)/'Resid Cust Fcst '!BQ14)</f>
        <v>3240.9999999999995</v>
      </c>
      <c r="V13" s="137">
        <f>'Resid Cust Fcst '!$BR14*'Resid TSM UC Adj'!R13</f>
        <v>0</v>
      </c>
      <c r="W13" s="23">
        <f>'Resid Cust Fcst '!$BR14*'Resid TSM UC Adj'!S13</f>
        <v>0</v>
      </c>
      <c r="X13" s="23">
        <f>'Resid Cust Fcst '!$BR14*'Resid TSM UC Adj'!T13</f>
        <v>0</v>
      </c>
      <c r="Y13" s="45">
        <f>IF(SUM(V13:X13)=0,0,SUM(V13:X13)/'Resid Cust Fcst '!BR14)</f>
        <v>0</v>
      </c>
      <c r="Z13" s="137">
        <f t="shared" si="3"/>
        <v>43291.659599399834</v>
      </c>
      <c r="AA13" s="23">
        <f t="shared" si="1"/>
        <v>16603.473703767577</v>
      </c>
      <c r="AB13" s="23">
        <f t="shared" si="1"/>
        <v>4924.8666968325788</v>
      </c>
      <c r="AC13" s="45">
        <f>IF(SUM(Z13:AB13)=0,0,SUM(Z13:AB13)/'Resid Cust Fcst '!BS14)</f>
        <v>3240.9999999999995</v>
      </c>
    </row>
    <row r="14" spans="1:29">
      <c r="A14" s="153" t="s">
        <v>10</v>
      </c>
      <c r="B14" s="137">
        <f>'Resid Cust Fcst '!$BM15*'Resid TSM UC Adj'!B14</f>
        <v>2832.6260895632277</v>
      </c>
      <c r="C14" s="23">
        <f>'Resid Cust Fcst '!$BM15*'Resid TSM UC Adj'!C14</f>
        <v>3156.887240753515</v>
      </c>
      <c r="D14" s="23">
        <f>'Resid Cust Fcst '!$BM15*'Resid TSM UC Adj'!D14</f>
        <v>492.4866696832579</v>
      </c>
      <c r="E14" s="45">
        <f>IF(SUM(B14:D14)=0,0,SUM(B14:D14)/'Resid Cust Fcst '!BM15)</f>
        <v>3241</v>
      </c>
      <c r="F14" s="137">
        <f>'Resid Cust Fcst '!$BN15*'Resid TSM UC Adj'!F14</f>
        <v>0</v>
      </c>
      <c r="G14" s="23">
        <f>'Resid Cust Fcst '!$BN15*'Resid TSM UC Adj'!G14</f>
        <v>0</v>
      </c>
      <c r="H14" s="23">
        <f>'Resid Cust Fcst '!$BN15*'Resid TSM UC Adj'!H14</f>
        <v>0</v>
      </c>
      <c r="I14" s="45">
        <f>IF(SUM(F14:H14)=0,0,SUM(F14:H14)/'Resid Cust Fcst '!BN15)</f>
        <v>0</v>
      </c>
      <c r="J14" s="137">
        <f>'Resid Cust Fcst '!$BO15*'Resid TSM UC Adj'!J14</f>
        <v>1086.3440211748748</v>
      </c>
      <c r="K14" s="23">
        <f>'Resid Cust Fcst '!$BO15*'Resid TSM UC Adj'!K14</f>
        <v>1781.4759788251249</v>
      </c>
      <c r="L14" s="23">
        <f>'Resid Cust Fcst '!$BO15*'Resid TSM UC Adj'!L14</f>
        <v>373.18</v>
      </c>
      <c r="M14" s="45">
        <f>IF(SUM(J14:L14)=0,0,SUM(J14:L14)/'Resid Cust Fcst '!BO15)</f>
        <v>3240.9999999999995</v>
      </c>
      <c r="N14" s="137">
        <f>'Resid Cust Fcst '!$BP15*'Resid TSM UC Adj'!N14</f>
        <v>0</v>
      </c>
      <c r="O14" s="23">
        <f>'Resid Cust Fcst '!$BP15*'Resid TSM UC Adj'!O14</f>
        <v>0</v>
      </c>
      <c r="P14" s="23">
        <f>'Resid Cust Fcst '!$BP15*'Resid TSM UC Adj'!P14</f>
        <v>0</v>
      </c>
      <c r="Q14" s="45">
        <f>IF(SUM(N14:P14)=0,0,SUM(N14:P14)/'Resid Cust Fcst '!BP15)</f>
        <v>0</v>
      </c>
      <c r="R14" s="137">
        <f t="shared" si="2"/>
        <v>3918.9701107381024</v>
      </c>
      <c r="S14" s="23">
        <f t="shared" si="0"/>
        <v>4938.3632195786395</v>
      </c>
      <c r="T14" s="23">
        <f t="shared" si="0"/>
        <v>865.66666968325785</v>
      </c>
      <c r="U14" s="45">
        <f>IF(SUM(R14:T14)=0,0,SUM(R14:T14)/'Resid Cust Fcst '!BQ15)</f>
        <v>3241</v>
      </c>
      <c r="V14" s="137">
        <f>'Resid Cust Fcst '!$BR15*'Resid TSM UC Adj'!R14</f>
        <v>0</v>
      </c>
      <c r="W14" s="23">
        <f>'Resid Cust Fcst '!$BR15*'Resid TSM UC Adj'!S14</f>
        <v>0</v>
      </c>
      <c r="X14" s="23">
        <f>'Resid Cust Fcst '!$BR15*'Resid TSM UC Adj'!T14</f>
        <v>0</v>
      </c>
      <c r="Y14" s="45">
        <f>IF(SUM(V14:X14)=0,0,SUM(V14:X14)/'Resid Cust Fcst '!BR15)</f>
        <v>0</v>
      </c>
      <c r="Z14" s="137">
        <f t="shared" si="3"/>
        <v>3918.9701107381024</v>
      </c>
      <c r="AA14" s="23">
        <f t="shared" si="1"/>
        <v>4938.3632195786395</v>
      </c>
      <c r="AB14" s="23">
        <f t="shared" si="1"/>
        <v>865.66666968325785</v>
      </c>
      <c r="AC14" s="45">
        <f>IF(SUM(Z14:AB14)=0,0,SUM(Z14:AB14)/'Resid Cust Fcst '!BS15)</f>
        <v>3241</v>
      </c>
    </row>
    <row r="15" spans="1:29">
      <c r="A15" s="153" t="s">
        <v>11</v>
      </c>
      <c r="B15" s="137">
        <f>'Resid Cust Fcst '!$BM16*'Resid TSM UC Adj'!B15</f>
        <v>668.04310959323448</v>
      </c>
      <c r="C15" s="23">
        <f>'Resid Cust Fcst '!$BM16*'Resid TSM UC Adj'!C15</f>
        <v>2326.7135555651362</v>
      </c>
      <c r="D15" s="23">
        <f>'Resid Cust Fcst '!$BM16*'Resid TSM UC Adj'!D15</f>
        <v>246.24333484162895</v>
      </c>
      <c r="E15" s="45">
        <f>IF(SUM(B15:D15)=0,0,SUM(B15:D15)/'Resid Cust Fcst '!BM16)</f>
        <v>3240.9999999999995</v>
      </c>
      <c r="F15" s="137">
        <f>'Resid Cust Fcst '!$BN16*'Resid TSM UC Adj'!F15</f>
        <v>0</v>
      </c>
      <c r="G15" s="23">
        <f>'Resid Cust Fcst '!$BN16*'Resid TSM UC Adj'!G15</f>
        <v>0</v>
      </c>
      <c r="H15" s="23">
        <f>'Resid Cust Fcst '!$BN16*'Resid TSM UC Adj'!H15</f>
        <v>0</v>
      </c>
      <c r="I15" s="45">
        <f>IF(SUM(F15:H15)=0,0,SUM(F15:H15)/'Resid Cust Fcst '!BN16)</f>
        <v>0</v>
      </c>
      <c r="J15" s="137">
        <f>'Resid Cust Fcst '!$BO16*'Resid TSM UC Adj'!J15</f>
        <v>0</v>
      </c>
      <c r="K15" s="23">
        <f>'Resid Cust Fcst '!$BO16*'Resid TSM UC Adj'!K15</f>
        <v>0</v>
      </c>
      <c r="L15" s="23">
        <f>'Resid Cust Fcst '!$BO16*'Resid TSM UC Adj'!L15</f>
        <v>0</v>
      </c>
      <c r="M15" s="45">
        <f>IF(SUM(J15:L15)=0,0,SUM(J15:L15)/'Resid Cust Fcst '!BO16)</f>
        <v>0</v>
      </c>
      <c r="N15" s="137">
        <f>'Resid Cust Fcst '!$BP16*'Resid TSM UC Adj'!N15</f>
        <v>0</v>
      </c>
      <c r="O15" s="23">
        <f>'Resid Cust Fcst '!$BP16*'Resid TSM UC Adj'!O15</f>
        <v>0</v>
      </c>
      <c r="P15" s="23">
        <f>'Resid Cust Fcst '!$BP16*'Resid TSM UC Adj'!P15</f>
        <v>0</v>
      </c>
      <c r="Q15" s="45">
        <f>IF(SUM(N15:P15)=0,0,SUM(N15:P15)/'Resid Cust Fcst '!BP16)</f>
        <v>0</v>
      </c>
      <c r="R15" s="137">
        <f t="shared" si="2"/>
        <v>668.04310959323448</v>
      </c>
      <c r="S15" s="23">
        <f t="shared" si="0"/>
        <v>2326.7135555651362</v>
      </c>
      <c r="T15" s="23">
        <f t="shared" si="0"/>
        <v>246.24333484162895</v>
      </c>
      <c r="U15" s="45">
        <f>IF(SUM(R15:T15)=0,0,SUM(R15:T15)/'Resid Cust Fcst '!BQ16)</f>
        <v>3240.9999999999995</v>
      </c>
      <c r="V15" s="137">
        <f>'Resid Cust Fcst '!$BR16*'Resid TSM UC Adj'!R15</f>
        <v>0</v>
      </c>
      <c r="W15" s="23">
        <f>'Resid Cust Fcst '!$BR16*'Resid TSM UC Adj'!S15</f>
        <v>0</v>
      </c>
      <c r="X15" s="23">
        <f>'Resid Cust Fcst '!$BR16*'Resid TSM UC Adj'!T15</f>
        <v>0</v>
      </c>
      <c r="Y15" s="45">
        <f>IF(SUM(V15:X15)=0,0,SUM(V15:X15)/'Resid Cust Fcst '!BR16)</f>
        <v>0</v>
      </c>
      <c r="Z15" s="137">
        <f t="shared" si="3"/>
        <v>668.04310959323448</v>
      </c>
      <c r="AA15" s="23">
        <f t="shared" si="1"/>
        <v>2326.7135555651362</v>
      </c>
      <c r="AB15" s="23">
        <f t="shared" si="1"/>
        <v>246.24333484162895</v>
      </c>
      <c r="AC15" s="45">
        <f>IF(SUM(Z15:AB15)=0,0,SUM(Z15:AB15)/'Resid Cust Fcst '!BS16)</f>
        <v>3240.9999999999995</v>
      </c>
    </row>
    <row r="16" spans="1:29">
      <c r="A16" s="153" t="s">
        <v>120</v>
      </c>
      <c r="B16" s="137">
        <f>'Resid Cust Fcst '!$BM17*'Resid TSM UC Adj'!B16</f>
        <v>0</v>
      </c>
      <c r="C16" s="23">
        <f>'Resid Cust Fcst '!$BM17*'Resid TSM UC Adj'!C16</f>
        <v>0</v>
      </c>
      <c r="D16" s="23">
        <f>'Resid Cust Fcst '!$BM17*'Resid TSM UC Adj'!D16</f>
        <v>0</v>
      </c>
      <c r="E16" s="45">
        <f>IF(SUM(B16:D16)=0,0,SUM(B16:D16)/'Resid Cust Fcst '!BM17)</f>
        <v>0</v>
      </c>
      <c r="F16" s="137">
        <f>'Resid Cust Fcst '!$BN17*'Resid TSM UC Adj'!F16</f>
        <v>0</v>
      </c>
      <c r="G16" s="23">
        <f>'Resid Cust Fcst '!$BN17*'Resid TSM UC Adj'!G16</f>
        <v>0</v>
      </c>
      <c r="H16" s="23">
        <f>'Resid Cust Fcst '!$BN17*'Resid TSM UC Adj'!H16</f>
        <v>0</v>
      </c>
      <c r="I16" s="45">
        <f>IF(SUM(F16:H16)=0,0,SUM(F16:H16)/'Resid Cust Fcst '!BN17)</f>
        <v>0</v>
      </c>
      <c r="J16" s="137">
        <f>'Resid Cust Fcst '!$BO17*'Resid TSM UC Adj'!J16</f>
        <v>0</v>
      </c>
      <c r="K16" s="23">
        <f>'Resid Cust Fcst '!$BO17*'Resid TSM UC Adj'!K16</f>
        <v>0</v>
      </c>
      <c r="L16" s="23">
        <f>'Resid Cust Fcst '!$BO17*'Resid TSM UC Adj'!L16</f>
        <v>0</v>
      </c>
      <c r="M16" s="45">
        <f>IF(SUM(J16:L16)=0,0,SUM(J16:L16)/'Resid Cust Fcst '!BO17)</f>
        <v>0</v>
      </c>
      <c r="N16" s="137">
        <f>'Resid Cust Fcst '!$BP17*'Resid TSM UC Adj'!N16</f>
        <v>0</v>
      </c>
      <c r="O16" s="23">
        <f>'Resid Cust Fcst '!$BP17*'Resid TSM UC Adj'!O16</f>
        <v>0</v>
      </c>
      <c r="P16" s="23">
        <f>'Resid Cust Fcst '!$BP17*'Resid TSM UC Adj'!P16</f>
        <v>0</v>
      </c>
      <c r="Q16" s="45">
        <f>IF(SUM(N16:P16)=0,0,SUM(N16:P16)/'Resid Cust Fcst '!BP17)</f>
        <v>0</v>
      </c>
      <c r="R16" s="137">
        <f t="shared" si="2"/>
        <v>0</v>
      </c>
      <c r="S16" s="23">
        <f t="shared" si="0"/>
        <v>0</v>
      </c>
      <c r="T16" s="23">
        <f t="shared" si="0"/>
        <v>0</v>
      </c>
      <c r="U16" s="45">
        <f>IF(SUM(R16:T16)=0,0,SUM(R16:T16)/'Resid Cust Fcst '!BQ17)</f>
        <v>0</v>
      </c>
      <c r="V16" s="137">
        <f>'Resid Cust Fcst '!$BR17*'Resid TSM UC Adj'!R16</f>
        <v>0</v>
      </c>
      <c r="W16" s="23">
        <f>'Resid Cust Fcst '!$BR17*'Resid TSM UC Adj'!S16</f>
        <v>0</v>
      </c>
      <c r="X16" s="23">
        <f>'Resid Cust Fcst '!$BR17*'Resid TSM UC Adj'!T16</f>
        <v>0</v>
      </c>
      <c r="Y16" s="45">
        <f>IF(SUM(V16:X16)=0,0,SUM(V16:X16)/'Resid Cust Fcst '!BR17)</f>
        <v>0</v>
      </c>
      <c r="Z16" s="137">
        <f t="shared" si="3"/>
        <v>0</v>
      </c>
      <c r="AA16" s="23">
        <f t="shared" si="1"/>
        <v>0</v>
      </c>
      <c r="AB16" s="23">
        <f t="shared" si="1"/>
        <v>0</v>
      </c>
      <c r="AC16" s="45">
        <f>IF(SUM(Z16:AB16)=0,0,SUM(Z16:AB16)/'Resid Cust Fcst '!BS17)</f>
        <v>0</v>
      </c>
    </row>
    <row r="17" spans="1:29">
      <c r="A17" s="153" t="s">
        <v>121</v>
      </c>
      <c r="B17" s="137">
        <f>'Resid Cust Fcst '!$BM18*'Resid TSM UC Adj'!J17</f>
        <v>0</v>
      </c>
      <c r="C17" s="23">
        <f>'Resid Cust Fcst '!$BM18*'Resid TSM UC Adj'!K17</f>
        <v>0</v>
      </c>
      <c r="D17" s="23">
        <f>'Resid Cust Fcst '!$BM18*'Resid TSM UC Adj'!L17</f>
        <v>0</v>
      </c>
      <c r="E17" s="45">
        <f>IF(SUM(B17:D17)=0,0,SUM(B17:D17)/'Resid Cust Fcst '!BM18)</f>
        <v>0</v>
      </c>
      <c r="F17" s="137">
        <f>'Resid Cust Fcst '!$BN18*'Resid TSM UC Adj'!F17</f>
        <v>0</v>
      </c>
      <c r="G17" s="23">
        <f>'Resid Cust Fcst '!$BN18*'Resid TSM UC Adj'!G17</f>
        <v>0</v>
      </c>
      <c r="H17" s="23">
        <f>'Resid Cust Fcst '!$BN18*'Resid TSM UC Adj'!H17</f>
        <v>0</v>
      </c>
      <c r="I17" s="45">
        <f>IF(SUM(F17:H17)=0,0,SUM(F17:H17)/'Resid Cust Fcst '!BN18)</f>
        <v>0</v>
      </c>
      <c r="J17" s="137">
        <f>'Resid Cust Fcst '!$BO18*'Resid TSM UC Adj'!J17</f>
        <v>0</v>
      </c>
      <c r="K17" s="23">
        <f>'Resid Cust Fcst '!$BO18*'Resid TSM UC Adj'!K17</f>
        <v>0</v>
      </c>
      <c r="L17" s="23">
        <f>'Resid Cust Fcst '!$BO18*'Resid TSM UC Adj'!L17</f>
        <v>0</v>
      </c>
      <c r="M17" s="45">
        <f>IF(SUM(J17:L17)=0,0,SUM(J17:L17)/'Resid Cust Fcst '!BO18)</f>
        <v>0</v>
      </c>
      <c r="N17" s="137">
        <f>'Resid Cust Fcst '!$BP18*'Resid TSM UC Adj'!N17</f>
        <v>0</v>
      </c>
      <c r="O17" s="23">
        <f>'Resid Cust Fcst '!$BP18*'Resid TSM UC Adj'!O17</f>
        <v>0</v>
      </c>
      <c r="P17" s="23">
        <f>'Resid Cust Fcst '!$BP18*'Resid TSM UC Adj'!P17</f>
        <v>0</v>
      </c>
      <c r="Q17" s="45">
        <f>IF(SUM(N17:P17)=0,0,SUM(N17:P17)/'Resid Cust Fcst '!BP18)</f>
        <v>0</v>
      </c>
      <c r="R17" s="137">
        <f t="shared" si="2"/>
        <v>0</v>
      </c>
      <c r="S17" s="23">
        <f t="shared" si="0"/>
        <v>0</v>
      </c>
      <c r="T17" s="23">
        <f t="shared" si="0"/>
        <v>0</v>
      </c>
      <c r="U17" s="45">
        <f>IF(SUM(R17:T17)=0,0,SUM(R17:T17)/'Resid Cust Fcst '!BQ18)</f>
        <v>0</v>
      </c>
      <c r="V17" s="137">
        <f>'Resid Cust Fcst '!$BR18*'Resid TSM UC Adj'!R17</f>
        <v>0</v>
      </c>
      <c r="W17" s="23">
        <f>'Resid Cust Fcst '!$BR18*'Resid TSM UC Adj'!S17</f>
        <v>0</v>
      </c>
      <c r="X17" s="23">
        <f>'Resid Cust Fcst '!$BR18*'Resid TSM UC Adj'!T17</f>
        <v>0</v>
      </c>
      <c r="Y17" s="45">
        <f>IF(SUM(V17:X17)=0,0,SUM(V17:X17)/'Resid Cust Fcst '!BR18)</f>
        <v>0</v>
      </c>
      <c r="Z17" s="137">
        <f t="shared" si="3"/>
        <v>0</v>
      </c>
      <c r="AA17" s="23">
        <f t="shared" si="1"/>
        <v>0</v>
      </c>
      <c r="AB17" s="23">
        <f t="shared" si="1"/>
        <v>0</v>
      </c>
      <c r="AC17" s="45">
        <f>IF(SUM(Z17:AB17)=0,0,SUM(Z17:AB17)/'Resid Cust Fcst '!BS18)</f>
        <v>0</v>
      </c>
    </row>
    <row r="18" spans="1:29">
      <c r="A18" s="153" t="s">
        <v>12</v>
      </c>
      <c r="B18" s="137">
        <f>'Resid Cust Fcst '!$BM19*'Resid TSM UC Adj'!J18</f>
        <v>0</v>
      </c>
      <c r="C18" s="23">
        <f>'Resid Cust Fcst '!$BM19*'Resid TSM UC Adj'!K18</f>
        <v>0</v>
      </c>
      <c r="D18" s="23">
        <f>'Resid Cust Fcst '!$BM19*'Resid TSM UC Adj'!L18</f>
        <v>0</v>
      </c>
      <c r="E18" s="45">
        <f>IF(SUM(B18:D18)=0,0,SUM(B18:D18)/'Resid Cust Fcst '!BM19)</f>
        <v>0</v>
      </c>
      <c r="F18" s="137">
        <f>'Resid Cust Fcst '!$BN19*'Resid TSM UC Adj'!J18</f>
        <v>0</v>
      </c>
      <c r="G18" s="23">
        <f>'Resid Cust Fcst '!$BN19*'Resid TSM UC Adj'!K18</f>
        <v>0</v>
      </c>
      <c r="H18" s="23">
        <f>'Resid Cust Fcst '!$BN19*'Resid TSM UC Adj'!L18</f>
        <v>0</v>
      </c>
      <c r="I18" s="45">
        <f>IF(SUM(F18:H18)=0,0,SUM(F18:H18)/'Resid Cust Fcst '!BN19)</f>
        <v>0</v>
      </c>
      <c r="J18" s="137">
        <f>'Resid Cust Fcst '!$BO19*'Resid TSM UC Adj'!J18</f>
        <v>0</v>
      </c>
      <c r="K18" s="23">
        <f>'Resid Cust Fcst '!$BO19*'Resid TSM UC Adj'!K18</f>
        <v>0</v>
      </c>
      <c r="L18" s="23">
        <f>'Resid Cust Fcst '!$BO19*'Resid TSM UC Adj'!L18</f>
        <v>0</v>
      </c>
      <c r="M18" s="45">
        <f>IF(SUM(J18:L18)=0,0,SUM(J18:L18)/'Resid Cust Fcst '!BO19)</f>
        <v>0</v>
      </c>
      <c r="N18" s="137">
        <f>'Resid Cust Fcst '!$BP19*'Resid TSM UC Adj'!N18</f>
        <v>0</v>
      </c>
      <c r="O18" s="23">
        <f>'Resid Cust Fcst '!$BP19*'Resid TSM UC Adj'!O18</f>
        <v>0</v>
      </c>
      <c r="P18" s="23">
        <f>'Resid Cust Fcst '!$BP19*'Resid TSM UC Adj'!P18</f>
        <v>0</v>
      </c>
      <c r="Q18" s="45">
        <f>IF(SUM(N18:P18)=0,0,SUM(N18:P18)/'Resid Cust Fcst '!BP19)</f>
        <v>0</v>
      </c>
      <c r="R18" s="137">
        <f t="shared" si="2"/>
        <v>0</v>
      </c>
      <c r="S18" s="23">
        <f t="shared" si="0"/>
        <v>0</v>
      </c>
      <c r="T18" s="23">
        <f t="shared" si="0"/>
        <v>0</v>
      </c>
      <c r="U18" s="45">
        <f>IF(SUM(R18:T18)=0,0,SUM(R18:T18)/'Resid Cust Fcst '!BQ19)</f>
        <v>0</v>
      </c>
      <c r="V18" s="137">
        <f>'Resid Cust Fcst '!$BR19*'Resid TSM UC Adj'!R18</f>
        <v>0</v>
      </c>
      <c r="W18" s="23">
        <f>'Resid Cust Fcst '!$BR19*'Resid TSM UC Adj'!S18</f>
        <v>0</v>
      </c>
      <c r="X18" s="23">
        <f>'Resid Cust Fcst '!$BR19*'Resid TSM UC Adj'!T18</f>
        <v>0</v>
      </c>
      <c r="Y18" s="45">
        <f>IF(SUM(V18:X18)=0,0,SUM(V18:X18)/'Resid Cust Fcst '!BR19)</f>
        <v>0</v>
      </c>
      <c r="Z18" s="137">
        <f t="shared" si="3"/>
        <v>0</v>
      </c>
      <c r="AA18" s="23">
        <f t="shared" si="1"/>
        <v>0</v>
      </c>
      <c r="AB18" s="23">
        <f t="shared" si="1"/>
        <v>0</v>
      </c>
      <c r="AC18" s="45">
        <f>IF(SUM(Z18:AB18)=0,0,SUM(Z18:AB18)/'Resid Cust Fcst '!BS19)</f>
        <v>0</v>
      </c>
    </row>
    <row r="19" spans="1:29" s="58" customFormat="1">
      <c r="A19" s="134" t="s">
        <v>13</v>
      </c>
      <c r="B19" s="137">
        <f>'Resid Cust Fcst '!$BM20*'Resid TSM UC Adj'!J19</f>
        <v>0</v>
      </c>
      <c r="C19" s="23">
        <f>'Resid Cust Fcst '!$BM20*'Resid TSM UC Adj'!K19</f>
        <v>0</v>
      </c>
      <c r="D19" s="23">
        <f>'Resid Cust Fcst '!$BM20*'Resid TSM UC Adj'!L19</f>
        <v>0</v>
      </c>
      <c r="E19" s="45">
        <f>IF(SUM(B19:D19)=0,0,SUM(B19:D19)/'Resid Cust Fcst '!BM20)</f>
        <v>0</v>
      </c>
      <c r="F19" s="137">
        <f>'Resid Cust Fcst '!$BN20*'Resid TSM UC Adj'!J19</f>
        <v>0</v>
      </c>
      <c r="G19" s="23">
        <f>'Resid Cust Fcst '!$BN20*'Resid TSM UC Adj'!K19</f>
        <v>0</v>
      </c>
      <c r="H19" s="23">
        <f>'Resid Cust Fcst '!$BN20*'Resid TSM UC Adj'!L19</f>
        <v>0</v>
      </c>
      <c r="I19" s="45">
        <f>IF(SUM(F19:H19)=0,0,SUM(F19:H19)/'Resid Cust Fcst '!BN20)</f>
        <v>0</v>
      </c>
      <c r="J19" s="137">
        <f>'Resid Cust Fcst '!$BO20*'Resid TSM UC Adj'!J19</f>
        <v>0</v>
      </c>
      <c r="K19" s="23">
        <f>'Resid Cust Fcst '!$BO20*'Resid TSM UC Adj'!K19</f>
        <v>0</v>
      </c>
      <c r="L19" s="23">
        <f>'Resid Cust Fcst '!$BO20*'Resid TSM UC Adj'!L19</f>
        <v>0</v>
      </c>
      <c r="M19" s="45">
        <f>IF(SUM(J19:L19)=0,0,SUM(J19:L19)/'Resid Cust Fcst '!BO20)</f>
        <v>0</v>
      </c>
      <c r="N19" s="137">
        <f>'Resid Cust Fcst '!$BP20*'Resid TSM UC Adj'!N19</f>
        <v>0</v>
      </c>
      <c r="O19" s="23">
        <f>'Resid Cust Fcst '!$BP20*'Resid TSM UC Adj'!O19</f>
        <v>0</v>
      </c>
      <c r="P19" s="23">
        <f>'Resid Cust Fcst '!$BP20*'Resid TSM UC Adj'!P19</f>
        <v>0</v>
      </c>
      <c r="Q19" s="45">
        <f>IF(SUM(N19:P19)=0,0,SUM(N19:P19)/'Resid Cust Fcst '!BP20)</f>
        <v>0</v>
      </c>
      <c r="R19" s="137">
        <f t="shared" si="2"/>
        <v>0</v>
      </c>
      <c r="S19" s="23">
        <f t="shared" si="0"/>
        <v>0</v>
      </c>
      <c r="T19" s="23">
        <f t="shared" si="0"/>
        <v>0</v>
      </c>
      <c r="U19" s="45">
        <f>IF(SUM(R19:T19)=0,0,SUM(R19:T19)/'Resid Cust Fcst '!BQ20)</f>
        <v>0</v>
      </c>
      <c r="V19" s="137">
        <f>'Resid Cust Fcst '!$BR20*'Resid TSM UC Adj'!R19</f>
        <v>0</v>
      </c>
      <c r="W19" s="23">
        <f>'Resid Cust Fcst '!$BR20*'Resid TSM UC Adj'!S19</f>
        <v>0</v>
      </c>
      <c r="X19" s="23">
        <f>'Resid Cust Fcst '!$BR20*'Resid TSM UC Adj'!T19</f>
        <v>0</v>
      </c>
      <c r="Y19" s="45">
        <f>IF(SUM(V19:X19)=0,0,SUM(V19:X19)/'Resid Cust Fcst '!BR20)</f>
        <v>0</v>
      </c>
      <c r="Z19" s="137">
        <f t="shared" si="3"/>
        <v>0</v>
      </c>
      <c r="AA19" s="23">
        <f t="shared" si="1"/>
        <v>0</v>
      </c>
      <c r="AB19" s="23">
        <f t="shared" si="1"/>
        <v>0</v>
      </c>
      <c r="AC19" s="45">
        <f>IF(SUM(Z19:AB19)=0,0,SUM(Z19:AB19)/'Resid Cust Fcst '!BS20)</f>
        <v>0</v>
      </c>
    </row>
    <row r="20" spans="1:29">
      <c r="A20" s="153" t="s">
        <v>122</v>
      </c>
      <c r="B20" s="137">
        <f>'Resid Cust Fcst '!$BM21*'Resid TSM UC Adj'!J20</f>
        <v>0</v>
      </c>
      <c r="C20" s="23">
        <f>'Resid Cust Fcst '!$BM21*'Resid TSM UC Adj'!K20</f>
        <v>0</v>
      </c>
      <c r="D20" s="23">
        <f>'Resid Cust Fcst '!$BM21*'Resid TSM UC Adj'!L20</f>
        <v>0</v>
      </c>
      <c r="E20" s="45">
        <f>IF(SUM(B20:D20)=0,0,SUM(B20:D20)/'Resid Cust Fcst '!BM21)</f>
        <v>0</v>
      </c>
      <c r="F20" s="137">
        <f>'Resid Cust Fcst '!$BN21*'Resid TSM UC Adj'!J20</f>
        <v>0</v>
      </c>
      <c r="G20" s="23">
        <f>'Resid Cust Fcst '!$BN21*'Resid TSM UC Adj'!K20</f>
        <v>0</v>
      </c>
      <c r="H20" s="23">
        <f>'Resid Cust Fcst '!$BN21*'Resid TSM UC Adj'!L20</f>
        <v>0</v>
      </c>
      <c r="I20" s="45">
        <f>IF(SUM(F20:H20)=0,0,SUM(F20:H20)/'Resid Cust Fcst '!BN21)</f>
        <v>0</v>
      </c>
      <c r="J20" s="137">
        <f>'Resid Cust Fcst '!$BO21*'Resid TSM UC Adj'!J20</f>
        <v>0</v>
      </c>
      <c r="K20" s="23">
        <f>'Resid Cust Fcst '!$BO21*'Resid TSM UC Adj'!K20</f>
        <v>0</v>
      </c>
      <c r="L20" s="23">
        <f>'Resid Cust Fcst '!$BO21*'Resid TSM UC Adj'!L20</f>
        <v>0</v>
      </c>
      <c r="M20" s="45">
        <f>IF(SUM(J20:L20)=0,0,SUM(J20:L20)/'Resid Cust Fcst '!BO21)</f>
        <v>0</v>
      </c>
      <c r="N20" s="137">
        <f>'Resid Cust Fcst '!$BP21*'Resid TSM UC Adj'!N20</f>
        <v>0</v>
      </c>
      <c r="O20" s="23">
        <f>'Resid Cust Fcst '!$BP21*'Resid TSM UC Adj'!O20</f>
        <v>0</v>
      </c>
      <c r="P20" s="23">
        <f>'Resid Cust Fcst '!$BP21*'Resid TSM UC Adj'!P20</f>
        <v>0</v>
      </c>
      <c r="Q20" s="45">
        <f>IF(SUM(N20:P20)=0,0,SUM(N20:P20)/'Resid Cust Fcst '!BP21)</f>
        <v>0</v>
      </c>
      <c r="R20" s="137">
        <f t="shared" si="2"/>
        <v>0</v>
      </c>
      <c r="S20" s="23">
        <f t="shared" si="0"/>
        <v>0</v>
      </c>
      <c r="T20" s="23">
        <f t="shared" si="0"/>
        <v>0</v>
      </c>
      <c r="U20" s="45">
        <f>IF(SUM(R20:T20)=0,0,SUM(R20:T20)/'Resid Cust Fcst '!BQ21)</f>
        <v>0</v>
      </c>
      <c r="V20" s="137">
        <f>'Resid Cust Fcst '!$BR21*'Resid TSM UC Adj'!R20</f>
        <v>0</v>
      </c>
      <c r="W20" s="23">
        <f>'Resid Cust Fcst '!$BR21*'Resid TSM UC Adj'!S20</f>
        <v>0</v>
      </c>
      <c r="X20" s="23">
        <f>'Resid Cust Fcst '!$BR21*'Resid TSM UC Adj'!T20</f>
        <v>0</v>
      </c>
      <c r="Y20" s="45">
        <f>IF(SUM(V20:X20)=0,0,SUM(V20:X20)/'Resid Cust Fcst '!BR21)</f>
        <v>0</v>
      </c>
      <c r="Z20" s="137">
        <f t="shared" si="3"/>
        <v>0</v>
      </c>
      <c r="AA20" s="23">
        <f t="shared" si="1"/>
        <v>0</v>
      </c>
      <c r="AB20" s="23">
        <f t="shared" si="1"/>
        <v>0</v>
      </c>
      <c r="AC20" s="45">
        <f>IF(SUM(Z20:AB20)=0,0,SUM(Z20:AB20)/'Resid Cust Fcst '!BS21)</f>
        <v>0</v>
      </c>
    </row>
    <row r="21" spans="1:29">
      <c r="A21" s="153" t="s">
        <v>123</v>
      </c>
      <c r="B21" s="137">
        <f>'Resid Cust Fcst '!$BM22*'Resid TSM UC Adj'!J21</f>
        <v>0</v>
      </c>
      <c r="C21" s="23">
        <f>'Resid Cust Fcst '!$BM22*'Resid TSM UC Adj'!K21</f>
        <v>0</v>
      </c>
      <c r="D21" s="23">
        <f>'Resid Cust Fcst '!$BM22*'Resid TSM UC Adj'!L21</f>
        <v>0</v>
      </c>
      <c r="E21" s="45">
        <f>IF(SUM(B21:D21)=0,0,SUM(B21:D21)/'Resid Cust Fcst '!BM22)</f>
        <v>0</v>
      </c>
      <c r="F21" s="137">
        <f>'Resid Cust Fcst '!$BN22*'Resid TSM UC Adj'!J21</f>
        <v>0</v>
      </c>
      <c r="G21" s="23">
        <f>'Resid Cust Fcst '!$BN22*'Resid TSM UC Adj'!K21</f>
        <v>0</v>
      </c>
      <c r="H21" s="23">
        <f>'Resid Cust Fcst '!$BN22*'Resid TSM UC Adj'!L21</f>
        <v>0</v>
      </c>
      <c r="I21" s="45">
        <f>IF(SUM(F21:H21)=0,0,SUM(F21:H21)/'Resid Cust Fcst '!BN22)</f>
        <v>0</v>
      </c>
      <c r="J21" s="137">
        <f>'Resid Cust Fcst '!$BO22*'Resid TSM UC Adj'!J21</f>
        <v>0</v>
      </c>
      <c r="K21" s="23">
        <f>'Resid Cust Fcst '!$BO22*'Resid TSM UC Adj'!K21</f>
        <v>0</v>
      </c>
      <c r="L21" s="23">
        <f>'Resid Cust Fcst '!$BO22*'Resid TSM UC Adj'!L21</f>
        <v>0</v>
      </c>
      <c r="M21" s="45">
        <f>IF(SUM(J21:L21)=0,0,SUM(J21:L21)/'Resid Cust Fcst '!BO22)</f>
        <v>0</v>
      </c>
      <c r="N21" s="137">
        <f>'Resid Cust Fcst '!$BP22*'Resid TSM UC Adj'!N21</f>
        <v>0</v>
      </c>
      <c r="O21" s="23">
        <f>'Resid Cust Fcst '!$BP22*'Resid TSM UC Adj'!O21</f>
        <v>0</v>
      </c>
      <c r="P21" s="23">
        <f>'Resid Cust Fcst '!$BP22*'Resid TSM UC Adj'!P21</f>
        <v>0</v>
      </c>
      <c r="Q21" s="45">
        <f>IF(SUM(N21:P21)=0,0,SUM(N21:P21)/'Resid Cust Fcst '!BP22)</f>
        <v>0</v>
      </c>
      <c r="R21" s="137">
        <f t="shared" si="2"/>
        <v>0</v>
      </c>
      <c r="S21" s="23">
        <f t="shared" si="0"/>
        <v>0</v>
      </c>
      <c r="T21" s="23">
        <f t="shared" si="0"/>
        <v>0</v>
      </c>
      <c r="U21" s="45">
        <f>IF(SUM(R21:T21)=0,0,SUM(R21:T21)/'Resid Cust Fcst '!BQ22)</f>
        <v>0</v>
      </c>
      <c r="V21" s="137">
        <f>'Resid Cust Fcst '!$BR22*'Resid TSM UC Adj'!R21</f>
        <v>0</v>
      </c>
      <c r="W21" s="23">
        <f>'Resid Cust Fcst '!$BR22*'Resid TSM UC Adj'!S21</f>
        <v>0</v>
      </c>
      <c r="X21" s="23">
        <f>'Resid Cust Fcst '!$BR22*'Resid TSM UC Adj'!T21</f>
        <v>0</v>
      </c>
      <c r="Y21" s="45">
        <f>IF(SUM(V21:X21)=0,0,SUM(V21:X21)/'Resid Cust Fcst '!BR22)</f>
        <v>0</v>
      </c>
      <c r="Z21" s="137">
        <f t="shared" si="3"/>
        <v>0</v>
      </c>
      <c r="AA21" s="23">
        <f t="shared" si="1"/>
        <v>0</v>
      </c>
      <c r="AB21" s="23">
        <f t="shared" si="1"/>
        <v>0</v>
      </c>
      <c r="AC21" s="45">
        <f>IF(SUM(Z21:AB21)=0,0,SUM(Z21:AB21)/'Resid Cust Fcst '!BS22)</f>
        <v>0</v>
      </c>
    </row>
    <row r="22" spans="1:29">
      <c r="A22" s="153" t="s">
        <v>14</v>
      </c>
      <c r="B22" s="137">
        <f>'Resid Cust Fcst '!$BM23*'Resid TSM UC Adj'!J22</f>
        <v>0</v>
      </c>
      <c r="C22" s="23">
        <f>'Resid Cust Fcst '!$BM23*'Resid TSM UC Adj'!K22</f>
        <v>0</v>
      </c>
      <c r="D22" s="23">
        <f>'Resid Cust Fcst '!$BM23*'Resid TSM UC Adj'!L22</f>
        <v>0</v>
      </c>
      <c r="E22" s="45">
        <f>IF(SUM(B22:D22)=0,0,SUM(B22:D22)/'Resid Cust Fcst '!BM23)</f>
        <v>0</v>
      </c>
      <c r="F22" s="137">
        <f>'Resid Cust Fcst '!$BN23*'Resid TSM UC Adj'!J22</f>
        <v>0</v>
      </c>
      <c r="G22" s="23">
        <f>'Resid Cust Fcst '!$BN23*'Resid TSM UC Adj'!K22</f>
        <v>0</v>
      </c>
      <c r="H22" s="23">
        <f>'Resid Cust Fcst '!$BN23*'Resid TSM UC Adj'!L22</f>
        <v>0</v>
      </c>
      <c r="I22" s="45">
        <f>IF(SUM(F22:H22)=0,0,SUM(F22:H22)/'Resid Cust Fcst '!BN23)</f>
        <v>0</v>
      </c>
      <c r="J22" s="137">
        <f>'Resid Cust Fcst '!$BO23*'Resid TSM UC Adj'!J22</f>
        <v>0</v>
      </c>
      <c r="K22" s="23">
        <f>'Resid Cust Fcst '!$BO23*'Resid TSM UC Adj'!K22</f>
        <v>0</v>
      </c>
      <c r="L22" s="23">
        <f>'Resid Cust Fcst '!$BO23*'Resid TSM UC Adj'!L22</f>
        <v>0</v>
      </c>
      <c r="M22" s="45">
        <f>IF(SUM(J22:L22)=0,0,SUM(J22:L22)/'Resid Cust Fcst '!BO23)</f>
        <v>0</v>
      </c>
      <c r="N22" s="137">
        <f>'Resid Cust Fcst '!$BP23*'Resid TSM UC Adj'!N22</f>
        <v>0</v>
      </c>
      <c r="O22" s="23">
        <f>'Resid Cust Fcst '!$BP23*'Resid TSM UC Adj'!O22</f>
        <v>0</v>
      </c>
      <c r="P22" s="23">
        <f>'Resid Cust Fcst '!$BP23*'Resid TSM UC Adj'!P22</f>
        <v>0</v>
      </c>
      <c r="Q22" s="45">
        <f>IF(SUM(N22:P22)=0,0,SUM(N22:P22)/'Resid Cust Fcst '!BP23)</f>
        <v>0</v>
      </c>
      <c r="R22" s="137">
        <f t="shared" si="2"/>
        <v>0</v>
      </c>
      <c r="S22" s="23">
        <f t="shared" si="0"/>
        <v>0</v>
      </c>
      <c r="T22" s="23">
        <f t="shared" si="0"/>
        <v>0</v>
      </c>
      <c r="U22" s="45">
        <f>IF(SUM(R22:T22)=0,0,SUM(R22:T22)/'Resid Cust Fcst '!BQ23)</f>
        <v>0</v>
      </c>
      <c r="V22" s="137">
        <f>'Resid Cust Fcst '!$BR23*'Resid TSM UC Adj'!R22</f>
        <v>0</v>
      </c>
      <c r="W22" s="23">
        <f>'Resid Cust Fcst '!$BR23*'Resid TSM UC Adj'!S22</f>
        <v>0</v>
      </c>
      <c r="X22" s="23">
        <f>'Resid Cust Fcst '!$BR23*'Resid TSM UC Adj'!T22</f>
        <v>0</v>
      </c>
      <c r="Y22" s="45">
        <f>IF(SUM(V22:X22)=0,0,SUM(V22:X22)/'Resid Cust Fcst '!BR23)</f>
        <v>0</v>
      </c>
      <c r="Z22" s="137">
        <f t="shared" si="3"/>
        <v>0</v>
      </c>
      <c r="AA22" s="23">
        <f t="shared" si="1"/>
        <v>0</v>
      </c>
      <c r="AB22" s="23">
        <f t="shared" si="1"/>
        <v>0</v>
      </c>
      <c r="AC22" s="45">
        <f>IF(SUM(Z22:AB22)=0,0,SUM(Z22:AB22)/'Resid Cust Fcst '!BS23)</f>
        <v>0</v>
      </c>
    </row>
    <row r="23" spans="1:29">
      <c r="A23" s="153" t="s">
        <v>15</v>
      </c>
      <c r="B23" s="137">
        <f>'Resid Cust Fcst '!$BM24*'Resid TSM UC Adj'!J23</f>
        <v>0</v>
      </c>
      <c r="C23" s="23">
        <f>'Resid Cust Fcst '!$BM24*'Resid TSM UC Adj'!K23</f>
        <v>0</v>
      </c>
      <c r="D23" s="23">
        <f>'Resid Cust Fcst '!$BM24*'Resid TSM UC Adj'!L23</f>
        <v>0</v>
      </c>
      <c r="E23" s="45">
        <f>IF(SUM(B23:D23)=0,0,SUM(B23:D23)/'Resid Cust Fcst '!BM24)</f>
        <v>0</v>
      </c>
      <c r="F23" s="137">
        <f>'Resid Cust Fcst '!$BN24*'Resid TSM UC Adj'!J23</f>
        <v>0</v>
      </c>
      <c r="G23" s="23">
        <f>'Resid Cust Fcst '!$BN24*'Resid TSM UC Adj'!K23</f>
        <v>0</v>
      </c>
      <c r="H23" s="23">
        <f>'Resid Cust Fcst '!$BN24*'Resid TSM UC Adj'!L23</f>
        <v>0</v>
      </c>
      <c r="I23" s="45">
        <f>IF(SUM(F23:H23)=0,0,SUM(F23:H23)/'Resid Cust Fcst '!BN24)</f>
        <v>0</v>
      </c>
      <c r="J23" s="137">
        <f>'Resid Cust Fcst '!$BO24*'Resid TSM UC Adj'!J23</f>
        <v>0</v>
      </c>
      <c r="K23" s="23">
        <f>'Resid Cust Fcst '!$BO24*'Resid TSM UC Adj'!K23</f>
        <v>0</v>
      </c>
      <c r="L23" s="23">
        <f>'Resid Cust Fcst '!$BO24*'Resid TSM UC Adj'!L23</f>
        <v>0</v>
      </c>
      <c r="M23" s="45">
        <f>IF(SUM(J23:L23)=0,0,SUM(J23:L23)/'Resid Cust Fcst '!BO24)</f>
        <v>0</v>
      </c>
      <c r="N23" s="137">
        <f>'Resid Cust Fcst '!$BP24*'Resid TSM UC Adj'!N23</f>
        <v>0</v>
      </c>
      <c r="O23" s="23">
        <f>'Resid Cust Fcst '!$BP24*'Resid TSM UC Adj'!O23</f>
        <v>0</v>
      </c>
      <c r="P23" s="23">
        <f>'Resid Cust Fcst '!$BP24*'Resid TSM UC Adj'!P23</f>
        <v>0</v>
      </c>
      <c r="Q23" s="45">
        <f>IF(SUM(N23:P23)=0,0,SUM(N23:P23)/'Resid Cust Fcst '!BP24)</f>
        <v>0</v>
      </c>
      <c r="R23" s="137">
        <f t="shared" si="2"/>
        <v>0</v>
      </c>
      <c r="S23" s="23">
        <f t="shared" si="2"/>
        <v>0</v>
      </c>
      <c r="T23" s="23">
        <f t="shared" si="2"/>
        <v>0</v>
      </c>
      <c r="U23" s="45">
        <f>IF(SUM(R23:T23)=0,0,SUM(R23:T23)/'Resid Cust Fcst '!BQ24)</f>
        <v>0</v>
      </c>
      <c r="V23" s="137">
        <f>'Resid Cust Fcst '!$BR24*'Resid TSM UC Adj'!R23</f>
        <v>0</v>
      </c>
      <c r="W23" s="23">
        <f>'Resid Cust Fcst '!$BR24*'Resid TSM UC Adj'!S23</f>
        <v>0</v>
      </c>
      <c r="X23" s="23">
        <f>'Resid Cust Fcst '!$BR24*'Resid TSM UC Adj'!T23</f>
        <v>0</v>
      </c>
      <c r="Y23" s="45">
        <f>IF(SUM(V23:X23)=0,0,SUM(V23:X23)/'Resid Cust Fcst '!BR24)</f>
        <v>0</v>
      </c>
      <c r="Z23" s="137">
        <f t="shared" si="3"/>
        <v>0</v>
      </c>
      <c r="AA23" s="23">
        <f t="shared" si="3"/>
        <v>0</v>
      </c>
      <c r="AB23" s="23">
        <f t="shared" si="3"/>
        <v>0</v>
      </c>
      <c r="AC23" s="45">
        <f>IF(SUM(Z23:AB23)=0,0,SUM(Z23:AB23)/'Resid Cust Fcst '!BS24)</f>
        <v>0</v>
      </c>
    </row>
    <row r="24" spans="1:29">
      <c r="A24" s="153" t="s">
        <v>16</v>
      </c>
      <c r="B24" s="137">
        <f>'Resid Cust Fcst '!$BM25*'Resid TSM UC Adj'!J24</f>
        <v>0</v>
      </c>
      <c r="C24" s="23">
        <f>'Resid Cust Fcst '!$BM25*'Resid TSM UC Adj'!K24</f>
        <v>0</v>
      </c>
      <c r="D24" s="23">
        <f>'Resid Cust Fcst '!$BM25*'Resid TSM UC Adj'!L24</f>
        <v>0</v>
      </c>
      <c r="E24" s="45">
        <f>IF(SUM(B24:D24)=0,0,SUM(B24:D24)/'Resid Cust Fcst '!BM25)</f>
        <v>0</v>
      </c>
      <c r="F24" s="137">
        <f>'Resid Cust Fcst '!$BN25*'Resid TSM UC Adj'!J24</f>
        <v>0</v>
      </c>
      <c r="G24" s="23">
        <f>'Resid Cust Fcst '!$BN25*'Resid TSM UC Adj'!K24</f>
        <v>0</v>
      </c>
      <c r="H24" s="23">
        <f>'Resid Cust Fcst '!$BN25*'Resid TSM UC Adj'!L24</f>
        <v>0</v>
      </c>
      <c r="I24" s="45">
        <f>IF(SUM(F24:H24)=0,0,SUM(F24:H24)/'Resid Cust Fcst '!BN25)</f>
        <v>0</v>
      </c>
      <c r="J24" s="137">
        <f>'Resid Cust Fcst '!$BO25*'Resid TSM UC Adj'!J24</f>
        <v>0</v>
      </c>
      <c r="K24" s="23">
        <f>'Resid Cust Fcst '!$BO25*'Resid TSM UC Adj'!K24</f>
        <v>0</v>
      </c>
      <c r="L24" s="23">
        <f>'Resid Cust Fcst '!$BO25*'Resid TSM UC Adj'!L24</f>
        <v>0</v>
      </c>
      <c r="M24" s="45">
        <f>IF(SUM(J24:L24)=0,0,SUM(J24:L24)/'Resid Cust Fcst '!BO25)</f>
        <v>0</v>
      </c>
      <c r="N24" s="137">
        <f>'Resid Cust Fcst '!$BP25*'Resid TSM UC Adj'!N24</f>
        <v>0</v>
      </c>
      <c r="O24" s="23">
        <f>'Resid Cust Fcst '!$BP25*'Resid TSM UC Adj'!O24</f>
        <v>0</v>
      </c>
      <c r="P24" s="23">
        <f>'Resid Cust Fcst '!$BP25*'Resid TSM UC Adj'!P24</f>
        <v>0</v>
      </c>
      <c r="Q24" s="45">
        <f>IF(SUM(N24:P24)=0,0,SUM(N24:P24)/'Resid Cust Fcst '!BP25)</f>
        <v>0</v>
      </c>
      <c r="R24" s="137">
        <f t="shared" si="2"/>
        <v>0</v>
      </c>
      <c r="S24" s="23">
        <f t="shared" si="2"/>
        <v>0</v>
      </c>
      <c r="T24" s="23">
        <f t="shared" si="2"/>
        <v>0</v>
      </c>
      <c r="U24" s="45">
        <f>IF(SUM(R24:T24)=0,0,SUM(R24:T24)/'Resid Cust Fcst '!BQ25)</f>
        <v>0</v>
      </c>
      <c r="V24" s="137">
        <f>'Resid Cust Fcst '!$BR25*'Resid TSM UC Adj'!R24</f>
        <v>0</v>
      </c>
      <c r="W24" s="23">
        <f>'Resid Cust Fcst '!$BR25*'Resid TSM UC Adj'!S24</f>
        <v>0</v>
      </c>
      <c r="X24" s="23">
        <f>'Resid Cust Fcst '!$BR25*'Resid TSM UC Adj'!T24</f>
        <v>0</v>
      </c>
      <c r="Y24" s="45">
        <f>IF(SUM(V24:X24)=0,0,SUM(V24:X24)/'Resid Cust Fcst '!BR25)</f>
        <v>0</v>
      </c>
      <c r="Z24" s="137">
        <f t="shared" si="3"/>
        <v>0</v>
      </c>
      <c r="AA24" s="23">
        <f t="shared" si="3"/>
        <v>0</v>
      </c>
      <c r="AB24" s="23">
        <f t="shared" si="3"/>
        <v>0</v>
      </c>
      <c r="AC24" s="45">
        <f>IF(SUM(Z24:AB24)=0,0,SUM(Z24:AB24)/'Resid Cust Fcst '!BS25)</f>
        <v>0</v>
      </c>
    </row>
    <row r="25" spans="1:29">
      <c r="A25" s="153" t="s">
        <v>17</v>
      </c>
      <c r="B25" s="137">
        <f>'Resid Cust Fcst '!$BM26*'Resid TSM UC Adj'!J25</f>
        <v>0</v>
      </c>
      <c r="C25" s="23">
        <f>'Resid Cust Fcst '!$BM26*'Resid TSM UC Adj'!K25</f>
        <v>0</v>
      </c>
      <c r="D25" s="23">
        <f>'Resid Cust Fcst '!$BM26*'Resid TSM UC Adj'!L25</f>
        <v>0</v>
      </c>
      <c r="E25" s="45">
        <f>IF(SUM(B25:D25)=0,0,SUM(B25:D25)/'Resid Cust Fcst '!BM26)</f>
        <v>0</v>
      </c>
      <c r="F25" s="137">
        <f>'Resid Cust Fcst '!$BN26*'Resid TSM UC Adj'!J25</f>
        <v>0</v>
      </c>
      <c r="G25" s="23">
        <f>'Resid Cust Fcst '!$BN26*'Resid TSM UC Adj'!K25</f>
        <v>0</v>
      </c>
      <c r="H25" s="23">
        <f>'Resid Cust Fcst '!$BN26*'Resid TSM UC Adj'!L25</f>
        <v>0</v>
      </c>
      <c r="I25" s="45">
        <f>IF(SUM(F25:H25)=0,0,SUM(F25:H25)/'Resid Cust Fcst '!BN26)</f>
        <v>0</v>
      </c>
      <c r="J25" s="137">
        <f>'Resid Cust Fcst '!$BO26*'Resid TSM UC Adj'!J25</f>
        <v>0</v>
      </c>
      <c r="K25" s="23">
        <f>'Resid Cust Fcst '!$BO26*'Resid TSM UC Adj'!K25</f>
        <v>0</v>
      </c>
      <c r="L25" s="23">
        <f>'Resid Cust Fcst '!$BO26*'Resid TSM UC Adj'!L25</f>
        <v>0</v>
      </c>
      <c r="M25" s="45">
        <f>IF(SUM(J25:L25)=0,0,SUM(J25:L25)/'Resid Cust Fcst '!BO26)</f>
        <v>0</v>
      </c>
      <c r="N25" s="137">
        <f>'Resid Cust Fcst '!$BP26*'Resid TSM UC Adj'!N25</f>
        <v>0</v>
      </c>
      <c r="O25" s="23">
        <f>'Resid Cust Fcst '!$BP26*'Resid TSM UC Adj'!O25</f>
        <v>0</v>
      </c>
      <c r="P25" s="23">
        <f>'Resid Cust Fcst '!$BP26*'Resid TSM UC Adj'!P25</f>
        <v>0</v>
      </c>
      <c r="Q25" s="45">
        <f>IF(SUM(N25:P25)=0,0,SUM(N25:P25)/'Resid Cust Fcst '!BP26)</f>
        <v>0</v>
      </c>
      <c r="R25" s="137">
        <f t="shared" si="2"/>
        <v>0</v>
      </c>
      <c r="S25" s="23">
        <f t="shared" si="2"/>
        <v>0</v>
      </c>
      <c r="T25" s="23">
        <f t="shared" si="2"/>
        <v>0</v>
      </c>
      <c r="U25" s="45">
        <f>IF(SUM(R25:T25)=0,0,SUM(R25:T25)/'Resid Cust Fcst '!BQ26)</f>
        <v>0</v>
      </c>
      <c r="V25" s="137">
        <f>'Resid Cust Fcst '!$BR26*'Resid TSM UC Adj'!R25</f>
        <v>0</v>
      </c>
      <c r="W25" s="23">
        <f>'Resid Cust Fcst '!$BR26*'Resid TSM UC Adj'!S25</f>
        <v>0</v>
      </c>
      <c r="X25" s="23">
        <f>'Resid Cust Fcst '!$BR26*'Resid TSM UC Adj'!T25</f>
        <v>0</v>
      </c>
      <c r="Y25" s="45">
        <f>IF(SUM(V25:X25)=0,0,SUM(V25:X25)/'Resid Cust Fcst '!BR26)</f>
        <v>0</v>
      </c>
      <c r="Z25" s="137">
        <f t="shared" si="3"/>
        <v>0</v>
      </c>
      <c r="AA25" s="23">
        <f t="shared" si="3"/>
        <v>0</v>
      </c>
      <c r="AB25" s="23">
        <f t="shared" si="3"/>
        <v>0</v>
      </c>
      <c r="AC25" s="45">
        <f>IF(SUM(Z25:AB25)=0,0,SUM(Z25:AB25)/'Resid Cust Fcst '!BS26)</f>
        <v>0</v>
      </c>
    </row>
    <row r="26" spans="1:29">
      <c r="A26" s="153" t="s">
        <v>18</v>
      </c>
      <c r="B26" s="137">
        <f>'Resid Cust Fcst '!$BM27*'Resid TSM UC Adj'!J26</f>
        <v>0</v>
      </c>
      <c r="C26" s="23">
        <f>'Resid Cust Fcst '!$BM27*'Resid TSM UC Adj'!K26</f>
        <v>0</v>
      </c>
      <c r="D26" s="23">
        <f>'Resid Cust Fcst '!$BM27*'Resid TSM UC Adj'!L26</f>
        <v>0</v>
      </c>
      <c r="E26" s="45">
        <f>IF(SUM(B26:D26)=0,0,SUM(B26:D26)/'Resid Cust Fcst '!BM27)</f>
        <v>0</v>
      </c>
      <c r="F26" s="137">
        <f>'Resid Cust Fcst '!$BN27*'Resid TSM UC Adj'!J26</f>
        <v>0</v>
      </c>
      <c r="G26" s="23">
        <f>'Resid Cust Fcst '!$BN27*'Resid TSM UC Adj'!K26</f>
        <v>0</v>
      </c>
      <c r="H26" s="23">
        <f>'Resid Cust Fcst '!$BN27*'Resid TSM UC Adj'!L26</f>
        <v>0</v>
      </c>
      <c r="I26" s="45">
        <f>IF(SUM(F26:H26)=0,0,SUM(F26:H26)/'Resid Cust Fcst '!BN27)</f>
        <v>0</v>
      </c>
      <c r="J26" s="137">
        <f>'Resid Cust Fcst '!$BO27*'Resid TSM UC Adj'!J26</f>
        <v>0</v>
      </c>
      <c r="K26" s="23">
        <f>'Resid Cust Fcst '!$BO27*'Resid TSM UC Adj'!K26</f>
        <v>0</v>
      </c>
      <c r="L26" s="23">
        <f>'Resid Cust Fcst '!$BO27*'Resid TSM UC Adj'!L26</f>
        <v>0</v>
      </c>
      <c r="M26" s="45">
        <f>IF(SUM(J26:L26)=0,0,SUM(J26:L26)/'Resid Cust Fcst '!BO27)</f>
        <v>0</v>
      </c>
      <c r="N26" s="137">
        <f>'Resid Cust Fcst '!$BP27*'Resid TSM UC Adj'!N26</f>
        <v>0</v>
      </c>
      <c r="O26" s="23">
        <f>'Resid Cust Fcst '!$BP27*'Resid TSM UC Adj'!O26</f>
        <v>0</v>
      </c>
      <c r="P26" s="23">
        <f>'Resid Cust Fcst '!$BP27*'Resid TSM UC Adj'!P26</f>
        <v>0</v>
      </c>
      <c r="Q26" s="45">
        <f>IF(SUM(N26:P26)=0,0,SUM(N26:P26)/'Resid Cust Fcst '!BP27)</f>
        <v>0</v>
      </c>
      <c r="R26" s="137">
        <f t="shared" si="2"/>
        <v>0</v>
      </c>
      <c r="S26" s="23">
        <f t="shared" si="2"/>
        <v>0</v>
      </c>
      <c r="T26" s="23">
        <f t="shared" si="2"/>
        <v>0</v>
      </c>
      <c r="U26" s="45">
        <f>IF(SUM(R26:T26)=0,0,SUM(R26:T26)/'Resid Cust Fcst '!BQ27)</f>
        <v>0</v>
      </c>
      <c r="V26" s="137">
        <f>'Resid Cust Fcst '!$BR27*'Resid TSM UC Adj'!R26</f>
        <v>0</v>
      </c>
      <c r="W26" s="23">
        <f>'Resid Cust Fcst '!$BR27*'Resid TSM UC Adj'!S26</f>
        <v>0</v>
      </c>
      <c r="X26" s="23">
        <f>'Resid Cust Fcst '!$BR27*'Resid TSM UC Adj'!T26</f>
        <v>0</v>
      </c>
      <c r="Y26" s="45">
        <f>IF(SUM(V26:X26)=0,0,SUM(V26:X26)/'Resid Cust Fcst '!BR27)</f>
        <v>0</v>
      </c>
      <c r="Z26" s="137">
        <f t="shared" si="3"/>
        <v>0</v>
      </c>
      <c r="AA26" s="23">
        <f t="shared" si="3"/>
        <v>0</v>
      </c>
      <c r="AB26" s="23">
        <f t="shared" si="3"/>
        <v>0</v>
      </c>
      <c r="AC26" s="45">
        <f>IF(SUM(Z26:AB26)=0,0,SUM(Z26:AB26)/'Resid Cust Fcst '!BS27)</f>
        <v>0</v>
      </c>
    </row>
    <row r="27" spans="1:29">
      <c r="A27" s="153" t="s">
        <v>19</v>
      </c>
      <c r="B27" s="137">
        <f>'Resid Cust Fcst '!$BM28*'Resid TSM UC Adj'!J27</f>
        <v>0</v>
      </c>
      <c r="C27" s="23">
        <f>'Resid Cust Fcst '!$BM28*'Resid TSM UC Adj'!K27</f>
        <v>0</v>
      </c>
      <c r="D27" s="23">
        <f>'Resid Cust Fcst '!$BM28*'Resid TSM UC Adj'!L27</f>
        <v>0</v>
      </c>
      <c r="E27" s="45">
        <f>IF(SUM(B27:D27)=0,0,SUM(B27:D27)/'Resid Cust Fcst '!BM28)</f>
        <v>0</v>
      </c>
      <c r="F27" s="137">
        <f>'Resid Cust Fcst '!$BN28*'Resid TSM UC Adj'!J27</f>
        <v>0</v>
      </c>
      <c r="G27" s="23">
        <f>'Resid Cust Fcst '!$BN28*'Resid TSM UC Adj'!K27</f>
        <v>0</v>
      </c>
      <c r="H27" s="23">
        <f>'Resid Cust Fcst '!$BN28*'Resid TSM UC Adj'!L27</f>
        <v>0</v>
      </c>
      <c r="I27" s="45">
        <f>IF(SUM(F27:H27)=0,0,SUM(F27:H27)/'Resid Cust Fcst '!BN28)</f>
        <v>0</v>
      </c>
      <c r="J27" s="137">
        <f>'Resid Cust Fcst '!$BO28*'Resid TSM UC Adj'!J27</f>
        <v>0</v>
      </c>
      <c r="K27" s="23">
        <f>'Resid Cust Fcst '!$BO28*'Resid TSM UC Adj'!K27</f>
        <v>0</v>
      </c>
      <c r="L27" s="23">
        <f>'Resid Cust Fcst '!$BO28*'Resid TSM UC Adj'!L27</f>
        <v>0</v>
      </c>
      <c r="M27" s="45">
        <f>IF(SUM(J27:L27)=0,0,SUM(J27:L27)/'Resid Cust Fcst '!BO28)</f>
        <v>0</v>
      </c>
      <c r="N27" s="137">
        <f>'Resid Cust Fcst '!$BP28*'Resid TSM UC Adj'!N27</f>
        <v>0</v>
      </c>
      <c r="O27" s="23">
        <f>'Resid Cust Fcst '!$BP28*'Resid TSM UC Adj'!O27</f>
        <v>0</v>
      </c>
      <c r="P27" s="23">
        <f>'Resid Cust Fcst '!$BP28*'Resid TSM UC Adj'!P27</f>
        <v>0</v>
      </c>
      <c r="Q27" s="45">
        <f>IF(SUM(N27:P27)=0,0,SUM(N27:P27)/'Resid Cust Fcst '!BP28)</f>
        <v>0</v>
      </c>
      <c r="R27" s="137">
        <f t="shared" si="2"/>
        <v>0</v>
      </c>
      <c r="S27" s="23">
        <f t="shared" si="2"/>
        <v>0</v>
      </c>
      <c r="T27" s="23">
        <f t="shared" si="2"/>
        <v>0</v>
      </c>
      <c r="U27" s="45">
        <f>IF(SUM(R27:T27)=0,0,SUM(R27:T27)/'Resid Cust Fcst '!BQ28)</f>
        <v>0</v>
      </c>
      <c r="V27" s="137">
        <f>'Resid Cust Fcst '!$BR28*'Resid TSM UC Adj'!R27</f>
        <v>0</v>
      </c>
      <c r="W27" s="23">
        <f>'Resid Cust Fcst '!$BR28*'Resid TSM UC Adj'!S27</f>
        <v>0</v>
      </c>
      <c r="X27" s="23">
        <f>'Resid Cust Fcst '!$BR28*'Resid TSM UC Adj'!T27</f>
        <v>0</v>
      </c>
      <c r="Y27" s="45">
        <f>IF(SUM(V27:X27)=0,0,SUM(V27:X27)/'Resid Cust Fcst '!BR28)</f>
        <v>0</v>
      </c>
      <c r="Z27" s="137">
        <f t="shared" si="3"/>
        <v>0</v>
      </c>
      <c r="AA27" s="23">
        <f t="shared" si="3"/>
        <v>0</v>
      </c>
      <c r="AB27" s="23">
        <f t="shared" si="3"/>
        <v>0</v>
      </c>
      <c r="AC27" s="45">
        <f>IF(SUM(Z27:AB27)=0,0,SUM(Z27:AB27)/'Resid Cust Fcst '!BS28)</f>
        <v>0</v>
      </c>
    </row>
    <row r="28" spans="1:29">
      <c r="A28" s="153" t="s">
        <v>20</v>
      </c>
      <c r="B28" s="137">
        <f>'Resid Cust Fcst '!$BM29*'Resid TSM UC Adj'!J28</f>
        <v>0</v>
      </c>
      <c r="C28" s="23">
        <f>'Resid Cust Fcst '!$BM29*'Resid TSM UC Adj'!K28</f>
        <v>0</v>
      </c>
      <c r="D28" s="23">
        <f>'Resid Cust Fcst '!$BM29*'Resid TSM UC Adj'!L28</f>
        <v>0</v>
      </c>
      <c r="E28" s="45">
        <f>IF(SUM(B28:D28)=0,0,SUM(B28:D28)/'Resid Cust Fcst '!BM29)</f>
        <v>0</v>
      </c>
      <c r="F28" s="137">
        <f>'Resid Cust Fcst '!$BN29*'Resid TSM UC Adj'!J28</f>
        <v>0</v>
      </c>
      <c r="G28" s="23">
        <f>'Resid Cust Fcst '!$BN29*'Resid TSM UC Adj'!K28</f>
        <v>0</v>
      </c>
      <c r="H28" s="23">
        <f>'Resid Cust Fcst '!$BN29*'Resid TSM UC Adj'!L28</f>
        <v>0</v>
      </c>
      <c r="I28" s="45">
        <f>IF(SUM(F28:H28)=0,0,SUM(F28:H28)/'Resid Cust Fcst '!BN29)</f>
        <v>0</v>
      </c>
      <c r="J28" s="137">
        <f>'Resid Cust Fcst '!$BO29*'Resid TSM UC Adj'!J28</f>
        <v>0</v>
      </c>
      <c r="K28" s="23">
        <f>'Resid Cust Fcst '!$BO29*'Resid TSM UC Adj'!K28</f>
        <v>0</v>
      </c>
      <c r="L28" s="23">
        <f>'Resid Cust Fcst '!$BO29*'Resid TSM UC Adj'!L28</f>
        <v>0</v>
      </c>
      <c r="M28" s="45">
        <f>IF(SUM(J28:L28)=0,0,SUM(J28:L28)/'Resid Cust Fcst '!BO29)</f>
        <v>0</v>
      </c>
      <c r="N28" s="137">
        <f>'Resid Cust Fcst '!$BP29*'Resid TSM UC Adj'!N28</f>
        <v>0</v>
      </c>
      <c r="O28" s="23">
        <f>'Resid Cust Fcst '!$BP29*'Resid TSM UC Adj'!O28</f>
        <v>0</v>
      </c>
      <c r="P28" s="23">
        <f>'Resid Cust Fcst '!$BP29*'Resid TSM UC Adj'!P28</f>
        <v>0</v>
      </c>
      <c r="Q28" s="45">
        <f>IF(SUM(N28:P28)=0,0,SUM(N28:P28)/'Resid Cust Fcst '!BP29)</f>
        <v>0</v>
      </c>
      <c r="R28" s="137">
        <f t="shared" si="2"/>
        <v>0</v>
      </c>
      <c r="S28" s="23">
        <f t="shared" si="2"/>
        <v>0</v>
      </c>
      <c r="T28" s="23">
        <f t="shared" si="2"/>
        <v>0</v>
      </c>
      <c r="U28" s="45">
        <f>IF(SUM(R28:T28)=0,0,SUM(R28:T28)/'Resid Cust Fcst '!BQ29)</f>
        <v>0</v>
      </c>
      <c r="V28" s="137">
        <f>'Resid Cust Fcst '!$BR29*'Resid TSM UC Adj'!R28</f>
        <v>0</v>
      </c>
      <c r="W28" s="23">
        <f>'Resid Cust Fcst '!$BR29*'Resid TSM UC Adj'!S28</f>
        <v>0</v>
      </c>
      <c r="X28" s="23">
        <f>'Resid Cust Fcst '!$BR29*'Resid TSM UC Adj'!T28</f>
        <v>0</v>
      </c>
      <c r="Y28" s="45">
        <f>IF(SUM(V28:X28)=0,0,SUM(V28:X28)/'Resid Cust Fcst '!BR29)</f>
        <v>0</v>
      </c>
      <c r="Z28" s="137">
        <f t="shared" si="3"/>
        <v>0</v>
      </c>
      <c r="AA28" s="23">
        <f t="shared" si="3"/>
        <v>0</v>
      </c>
      <c r="AB28" s="23">
        <f t="shared" si="3"/>
        <v>0</v>
      </c>
      <c r="AC28" s="45">
        <f>IF(SUM(Z28:AB28)=0,0,SUM(Z28:AB28)/'Resid Cust Fcst '!BS29)</f>
        <v>0</v>
      </c>
    </row>
    <row r="29" spans="1:29">
      <c r="A29" s="153" t="s">
        <v>21</v>
      </c>
      <c r="B29" s="137">
        <f>'Resid Cust Fcst '!$BM30*'Resid TSM UC Adj'!J29</f>
        <v>0</v>
      </c>
      <c r="C29" s="23">
        <f>'Resid Cust Fcst '!$BM30*'Resid TSM UC Adj'!K29</f>
        <v>0</v>
      </c>
      <c r="D29" s="23">
        <f>'Resid Cust Fcst '!$BM30*'Resid TSM UC Adj'!L29</f>
        <v>0</v>
      </c>
      <c r="E29" s="45">
        <f>IF(SUM(B29:D29)=0,0,SUM(B29:D29)/'Resid Cust Fcst '!BM30)</f>
        <v>0</v>
      </c>
      <c r="F29" s="137">
        <f>'Resid Cust Fcst '!$BN30*'Resid TSM UC Adj'!J29</f>
        <v>0</v>
      </c>
      <c r="G29" s="23">
        <f>'Resid Cust Fcst '!$BN30*'Resid TSM UC Adj'!K29</f>
        <v>0</v>
      </c>
      <c r="H29" s="23">
        <f>'Resid Cust Fcst '!$BN30*'Resid TSM UC Adj'!L29</f>
        <v>0</v>
      </c>
      <c r="I29" s="45">
        <f>IF(SUM(F29:H29)=0,0,SUM(F29:H29)/'Resid Cust Fcst '!BN30)</f>
        <v>0</v>
      </c>
      <c r="J29" s="137">
        <f>'Resid Cust Fcst '!$BO30*'Resid TSM UC Adj'!J29</f>
        <v>0</v>
      </c>
      <c r="K29" s="23">
        <f>'Resid Cust Fcst '!$BO30*'Resid TSM UC Adj'!K29</f>
        <v>0</v>
      </c>
      <c r="L29" s="23">
        <f>'Resid Cust Fcst '!$BO30*'Resid TSM UC Adj'!L29</f>
        <v>0</v>
      </c>
      <c r="M29" s="45">
        <f>IF(SUM(J29:L29)=0,0,SUM(J29:L29)/'Resid Cust Fcst '!BO30)</f>
        <v>0</v>
      </c>
      <c r="N29" s="137">
        <f>'Resid Cust Fcst '!$BP30*'Resid TSM UC Adj'!N29</f>
        <v>0</v>
      </c>
      <c r="O29" s="23">
        <f>'Resid Cust Fcst '!$BP30*'Resid TSM UC Adj'!O29</f>
        <v>0</v>
      </c>
      <c r="P29" s="23">
        <f>'Resid Cust Fcst '!$BP30*'Resid TSM UC Adj'!P29</f>
        <v>0</v>
      </c>
      <c r="Q29" s="45">
        <f>IF(SUM(N29:P29)=0,0,SUM(N29:P29)/'Resid Cust Fcst '!BP30)</f>
        <v>0</v>
      </c>
      <c r="R29" s="137">
        <f t="shared" si="2"/>
        <v>0</v>
      </c>
      <c r="S29" s="23">
        <f t="shared" si="2"/>
        <v>0</v>
      </c>
      <c r="T29" s="23">
        <f t="shared" si="2"/>
        <v>0</v>
      </c>
      <c r="U29" s="45">
        <f>IF(SUM(R29:T29)=0,0,SUM(R29:T29)/'Resid Cust Fcst '!BQ30)</f>
        <v>0</v>
      </c>
      <c r="V29" s="137">
        <f>'Resid Cust Fcst '!$BR30*'Resid TSM UC Adj'!R29</f>
        <v>0</v>
      </c>
      <c r="W29" s="23">
        <f>'Resid Cust Fcst '!$BR30*'Resid TSM UC Adj'!S29</f>
        <v>0</v>
      </c>
      <c r="X29" s="23">
        <f>'Resid Cust Fcst '!$BR30*'Resid TSM UC Adj'!T29</f>
        <v>0</v>
      </c>
      <c r="Y29" s="45">
        <f>IF(SUM(V29:X29)=0,0,SUM(V29:X29)/'Resid Cust Fcst '!BR30)</f>
        <v>0</v>
      </c>
      <c r="Z29" s="137">
        <f t="shared" si="3"/>
        <v>0</v>
      </c>
      <c r="AA29" s="23">
        <f t="shared" si="3"/>
        <v>0</v>
      </c>
      <c r="AB29" s="23">
        <f t="shared" si="3"/>
        <v>0</v>
      </c>
      <c r="AC29" s="45">
        <f>IF(SUM(Z29:AB29)=0,0,SUM(Z29:AB29)/'Resid Cust Fcst '!BS30)</f>
        <v>0</v>
      </c>
    </row>
    <row r="30" spans="1:29">
      <c r="A30" s="153" t="s">
        <v>22</v>
      </c>
      <c r="B30" s="137">
        <f>'Resid Cust Fcst '!$BM31*'Resid TSM UC Adj'!J30</f>
        <v>0</v>
      </c>
      <c r="C30" s="23">
        <f>'Resid Cust Fcst '!$BM31*'Resid TSM UC Adj'!K30</f>
        <v>0</v>
      </c>
      <c r="D30" s="23">
        <f>'Resid Cust Fcst '!$BM31*'Resid TSM UC Adj'!L30</f>
        <v>0</v>
      </c>
      <c r="E30" s="45">
        <f>IF(SUM(B30:D30)=0,0,SUM(B30:D30)/'Resid Cust Fcst '!BM31)</f>
        <v>0</v>
      </c>
      <c r="F30" s="137">
        <f>'Resid Cust Fcst '!$BN31*'Resid TSM UC Adj'!J30</f>
        <v>0</v>
      </c>
      <c r="G30" s="23">
        <f>'Resid Cust Fcst '!$BN31*'Resid TSM UC Adj'!K30</f>
        <v>0</v>
      </c>
      <c r="H30" s="23">
        <f>'Resid Cust Fcst '!$BN31*'Resid TSM UC Adj'!L30</f>
        <v>0</v>
      </c>
      <c r="I30" s="45">
        <f>IF(SUM(F30:H30)=0,0,SUM(F30:H30)/'Resid Cust Fcst '!BN31)</f>
        <v>0</v>
      </c>
      <c r="J30" s="137">
        <f>'Resid Cust Fcst '!$BO31*'Resid TSM UC Adj'!J30</f>
        <v>0</v>
      </c>
      <c r="K30" s="23">
        <f>'Resid Cust Fcst '!$BO31*'Resid TSM UC Adj'!K30</f>
        <v>0</v>
      </c>
      <c r="L30" s="23">
        <f>'Resid Cust Fcst '!$BO31*'Resid TSM UC Adj'!L30</f>
        <v>0</v>
      </c>
      <c r="M30" s="45">
        <f>IF(SUM(J30:L30)=0,0,SUM(J30:L30)/'Resid Cust Fcst '!BO31)</f>
        <v>0</v>
      </c>
      <c r="N30" s="137">
        <f>'Resid Cust Fcst '!$BP31*'Resid TSM UC Adj'!N30</f>
        <v>0</v>
      </c>
      <c r="O30" s="23">
        <f>'Resid Cust Fcst '!$BP31*'Resid TSM UC Adj'!O30</f>
        <v>0</v>
      </c>
      <c r="P30" s="23">
        <f>'Resid Cust Fcst '!$BP31*'Resid TSM UC Adj'!P30</f>
        <v>0</v>
      </c>
      <c r="Q30" s="45">
        <f>IF(SUM(N30:P30)=0,0,SUM(N30:P30)/'Resid Cust Fcst '!BP31)</f>
        <v>0</v>
      </c>
      <c r="R30" s="137">
        <f t="shared" si="2"/>
        <v>0</v>
      </c>
      <c r="S30" s="23">
        <f t="shared" si="2"/>
        <v>0</v>
      </c>
      <c r="T30" s="23">
        <f t="shared" si="2"/>
        <v>0</v>
      </c>
      <c r="U30" s="45">
        <f>IF(SUM(R30:T30)=0,0,SUM(R30:T30)/'Resid Cust Fcst '!BQ31)</f>
        <v>0</v>
      </c>
      <c r="V30" s="137">
        <f>'Resid Cust Fcst '!$BR31*'Resid TSM UC Adj'!R30</f>
        <v>0</v>
      </c>
      <c r="W30" s="23">
        <f>'Resid Cust Fcst '!$BR31*'Resid TSM UC Adj'!S30</f>
        <v>0</v>
      </c>
      <c r="X30" s="23">
        <f>'Resid Cust Fcst '!$BR31*'Resid TSM UC Adj'!T30</f>
        <v>0</v>
      </c>
      <c r="Y30" s="45">
        <f>IF(SUM(V30:X30)=0,0,SUM(V30:X30)/'Resid Cust Fcst '!BR31)</f>
        <v>0</v>
      </c>
      <c r="Z30" s="137">
        <f t="shared" si="3"/>
        <v>0</v>
      </c>
      <c r="AA30" s="23">
        <f t="shared" si="3"/>
        <v>0</v>
      </c>
      <c r="AB30" s="23">
        <f t="shared" si="3"/>
        <v>0</v>
      </c>
      <c r="AC30" s="45">
        <f>IF(SUM(Z30:AB30)=0,0,SUM(Z30:AB30)/'Resid Cust Fcst '!BS31)</f>
        <v>0</v>
      </c>
    </row>
    <row r="31" spans="1:29">
      <c r="A31" s="153" t="s">
        <v>23</v>
      </c>
      <c r="B31" s="137">
        <f>'Resid Cust Fcst '!$BM32*'Resid TSM UC Adj'!J31</f>
        <v>0</v>
      </c>
      <c r="C31" s="23">
        <f>'Resid Cust Fcst '!$BM32*'Resid TSM UC Adj'!K31</f>
        <v>0</v>
      </c>
      <c r="D31" s="23">
        <f>'Resid Cust Fcst '!$BM32*'Resid TSM UC Adj'!L31</f>
        <v>0</v>
      </c>
      <c r="E31" s="45">
        <f>IF(SUM(B31:D31)=0,0,SUM(B31:D31)/'Resid Cust Fcst '!BM32)</f>
        <v>0</v>
      </c>
      <c r="F31" s="137">
        <f>'Resid Cust Fcst '!$BN32*'Resid TSM UC Adj'!J31</f>
        <v>0</v>
      </c>
      <c r="G31" s="23">
        <f>'Resid Cust Fcst '!$BN32*'Resid TSM UC Adj'!K31</f>
        <v>0</v>
      </c>
      <c r="H31" s="23">
        <f>'Resid Cust Fcst '!$BN32*'Resid TSM UC Adj'!L31</f>
        <v>0</v>
      </c>
      <c r="I31" s="45">
        <f>IF(SUM(F31:H31)=0,0,SUM(F31:H31)/'Resid Cust Fcst '!BN32)</f>
        <v>0</v>
      </c>
      <c r="J31" s="137">
        <f>'Resid Cust Fcst '!$BO32*'Resid TSM UC Adj'!J31</f>
        <v>0</v>
      </c>
      <c r="K31" s="23">
        <f>'Resid Cust Fcst '!$BO32*'Resid TSM UC Adj'!K31</f>
        <v>0</v>
      </c>
      <c r="L31" s="23">
        <f>'Resid Cust Fcst '!$BO32*'Resid TSM UC Adj'!L31</f>
        <v>0</v>
      </c>
      <c r="M31" s="45">
        <f>IF(SUM(J31:L31)=0,0,SUM(J31:L31)/'Resid Cust Fcst '!BO32)</f>
        <v>0</v>
      </c>
      <c r="N31" s="137">
        <f>'Resid Cust Fcst '!$BP32*'Resid TSM UC Adj'!N31</f>
        <v>0</v>
      </c>
      <c r="O31" s="23">
        <f>'Resid Cust Fcst '!$BP32*'Resid TSM UC Adj'!O31</f>
        <v>0</v>
      </c>
      <c r="P31" s="23">
        <f>'Resid Cust Fcst '!$BP32*'Resid TSM UC Adj'!P31</f>
        <v>0</v>
      </c>
      <c r="Q31" s="45">
        <f>IF(SUM(N31:P31)=0,0,SUM(N31:P31)/'Resid Cust Fcst '!BP32)</f>
        <v>0</v>
      </c>
      <c r="R31" s="137">
        <f t="shared" si="2"/>
        <v>0</v>
      </c>
      <c r="S31" s="23">
        <f t="shared" si="2"/>
        <v>0</v>
      </c>
      <c r="T31" s="23">
        <f t="shared" si="2"/>
        <v>0</v>
      </c>
      <c r="U31" s="45">
        <f>IF(SUM(R31:T31)=0,0,SUM(R31:T31)/'Resid Cust Fcst '!BQ32)</f>
        <v>0</v>
      </c>
      <c r="V31" s="137">
        <f>'Resid Cust Fcst '!$BR32*'Resid TSM UC Adj'!R31</f>
        <v>0</v>
      </c>
      <c r="W31" s="23">
        <f>'Resid Cust Fcst '!$BR32*'Resid TSM UC Adj'!S31</f>
        <v>0</v>
      </c>
      <c r="X31" s="23">
        <f>'Resid Cust Fcst '!$BR32*'Resid TSM UC Adj'!T31</f>
        <v>0</v>
      </c>
      <c r="Y31" s="45">
        <f>IF(SUM(V31:X31)=0,0,SUM(V31:X31)/'Resid Cust Fcst '!BR32)</f>
        <v>0</v>
      </c>
      <c r="Z31" s="137">
        <f t="shared" si="3"/>
        <v>0</v>
      </c>
      <c r="AA31" s="23">
        <f t="shared" si="3"/>
        <v>0</v>
      </c>
      <c r="AB31" s="23">
        <f t="shared" si="3"/>
        <v>0</v>
      </c>
      <c r="AC31" s="45">
        <f>IF(SUM(Z31:AB31)=0,0,SUM(Z31:AB31)/'Resid Cust Fcst '!BS32)</f>
        <v>0</v>
      </c>
    </row>
    <row r="32" spans="1:29">
      <c r="A32" s="153" t="s">
        <v>24</v>
      </c>
      <c r="B32" s="137">
        <f>'Resid Cust Fcst '!$BM33*'Resid TSM UC Adj'!J32</f>
        <v>0</v>
      </c>
      <c r="C32" s="23">
        <f>'Resid Cust Fcst '!$BM33*'Resid TSM UC Adj'!K32</f>
        <v>0</v>
      </c>
      <c r="D32" s="23">
        <f>'Resid Cust Fcst '!$BM33*'Resid TSM UC Adj'!L32</f>
        <v>0</v>
      </c>
      <c r="E32" s="45">
        <f>IF(SUM(B32:D32)=0,0,SUM(B32:D32)/'Resid Cust Fcst '!BM33)</f>
        <v>0</v>
      </c>
      <c r="F32" s="137">
        <f>'Resid Cust Fcst '!$BN33*'Resid TSM UC Adj'!J32</f>
        <v>0</v>
      </c>
      <c r="G32" s="23">
        <f>'Resid Cust Fcst '!$BN33*'Resid TSM UC Adj'!K32</f>
        <v>0</v>
      </c>
      <c r="H32" s="23">
        <f>'Resid Cust Fcst '!$BN33*'Resid TSM UC Adj'!L32</f>
        <v>0</v>
      </c>
      <c r="I32" s="45">
        <f>IF(SUM(F32:H32)=0,0,SUM(F32:H32)/'Resid Cust Fcst '!BN33)</f>
        <v>0</v>
      </c>
      <c r="J32" s="137">
        <f>'Resid Cust Fcst '!$BO33*'Resid TSM UC Adj'!J32</f>
        <v>0</v>
      </c>
      <c r="K32" s="23">
        <f>'Resid Cust Fcst '!$BO33*'Resid TSM UC Adj'!K32</f>
        <v>0</v>
      </c>
      <c r="L32" s="23">
        <f>'Resid Cust Fcst '!$BO33*'Resid TSM UC Adj'!L32</f>
        <v>0</v>
      </c>
      <c r="M32" s="45">
        <f>IF(SUM(J32:L32)=0,0,SUM(J32:L32)/'Resid Cust Fcst '!BO33)</f>
        <v>0</v>
      </c>
      <c r="N32" s="137">
        <f>'Resid Cust Fcst '!$BP33*'Resid TSM UC Adj'!N32</f>
        <v>0</v>
      </c>
      <c r="O32" s="23">
        <f>'Resid Cust Fcst '!$BP33*'Resid TSM UC Adj'!O32</f>
        <v>0</v>
      </c>
      <c r="P32" s="23">
        <f>'Resid Cust Fcst '!$BP33*'Resid TSM UC Adj'!P32</f>
        <v>0</v>
      </c>
      <c r="Q32" s="45">
        <f>IF(SUM(N32:P32)=0,0,SUM(N32:P32)/'Resid Cust Fcst '!BP33)</f>
        <v>0</v>
      </c>
      <c r="R32" s="137">
        <f t="shared" si="2"/>
        <v>0</v>
      </c>
      <c r="S32" s="23">
        <f t="shared" si="2"/>
        <v>0</v>
      </c>
      <c r="T32" s="23">
        <f t="shared" si="2"/>
        <v>0</v>
      </c>
      <c r="U32" s="45">
        <f>IF(SUM(R32:T32)=0,0,SUM(R32:T32)/'Resid Cust Fcst '!BQ33)</f>
        <v>0</v>
      </c>
      <c r="V32" s="137">
        <f>'Resid Cust Fcst '!$BR33*'Resid TSM UC Adj'!R32</f>
        <v>0</v>
      </c>
      <c r="W32" s="23">
        <f>'Resid Cust Fcst '!$BR33*'Resid TSM UC Adj'!S32</f>
        <v>0</v>
      </c>
      <c r="X32" s="23">
        <f>'Resid Cust Fcst '!$BR33*'Resid TSM UC Adj'!T32</f>
        <v>0</v>
      </c>
      <c r="Y32" s="45">
        <f>IF(SUM(V32:X32)=0,0,SUM(V32:X32)/'Resid Cust Fcst '!BR33)</f>
        <v>0</v>
      </c>
      <c r="Z32" s="137">
        <f t="shared" si="3"/>
        <v>0</v>
      </c>
      <c r="AA32" s="23">
        <f t="shared" si="3"/>
        <v>0</v>
      </c>
      <c r="AB32" s="23">
        <f t="shared" si="3"/>
        <v>0</v>
      </c>
      <c r="AC32" s="45">
        <f>IF(SUM(Z32:AB32)=0,0,SUM(Z32:AB32)/'Resid Cust Fcst '!BS33)</f>
        <v>0</v>
      </c>
    </row>
    <row r="33" spans="1:29">
      <c r="A33" s="153" t="s">
        <v>25</v>
      </c>
      <c r="B33" s="137">
        <f>'Resid Cust Fcst '!$BM34*'Resid TSM UC Adj'!J33</f>
        <v>0</v>
      </c>
      <c r="C33" s="23">
        <f>'Resid Cust Fcst '!$BM34*'Resid TSM UC Adj'!K33</f>
        <v>0</v>
      </c>
      <c r="D33" s="23">
        <f>'Resid Cust Fcst '!$BM34*'Resid TSM UC Adj'!L33</f>
        <v>0</v>
      </c>
      <c r="E33" s="45">
        <f>IF(SUM(B33:D33)=0,0,SUM(B33:D33)/'Resid Cust Fcst '!BM34)</f>
        <v>0</v>
      </c>
      <c r="F33" s="137">
        <f>'Resid Cust Fcst '!$BN34*'Resid TSM UC Adj'!J33</f>
        <v>0</v>
      </c>
      <c r="G33" s="23">
        <f>'Resid Cust Fcst '!$BN34*'Resid TSM UC Adj'!K33</f>
        <v>0</v>
      </c>
      <c r="H33" s="23">
        <f>'Resid Cust Fcst '!$BN34*'Resid TSM UC Adj'!L33</f>
        <v>0</v>
      </c>
      <c r="I33" s="45">
        <f>IF(SUM(F33:H33)=0,0,SUM(F33:H33)/'Resid Cust Fcst '!BN34)</f>
        <v>0</v>
      </c>
      <c r="J33" s="137">
        <f>'Resid Cust Fcst '!$BO34*'Resid TSM UC Adj'!J33</f>
        <v>0</v>
      </c>
      <c r="K33" s="23">
        <f>'Resid Cust Fcst '!$BO34*'Resid TSM UC Adj'!K33</f>
        <v>0</v>
      </c>
      <c r="L33" s="23">
        <f>'Resid Cust Fcst '!$BO34*'Resid TSM UC Adj'!L33</f>
        <v>0</v>
      </c>
      <c r="M33" s="45">
        <f>IF(SUM(J33:L33)=0,0,SUM(J33:L33)/'Resid Cust Fcst '!BO34)</f>
        <v>0</v>
      </c>
      <c r="N33" s="137">
        <f>'Resid Cust Fcst '!$BP34*'Resid TSM UC Adj'!N33</f>
        <v>0</v>
      </c>
      <c r="O33" s="23">
        <f>'Resid Cust Fcst '!$BP34*'Resid TSM UC Adj'!O33</f>
        <v>0</v>
      </c>
      <c r="P33" s="23">
        <f>'Resid Cust Fcst '!$BP34*'Resid TSM UC Adj'!P33</f>
        <v>0</v>
      </c>
      <c r="Q33" s="45">
        <f>IF(SUM(N33:P33)=0,0,SUM(N33:P33)/'Resid Cust Fcst '!BP34)</f>
        <v>0</v>
      </c>
      <c r="R33" s="137">
        <f t="shared" si="2"/>
        <v>0</v>
      </c>
      <c r="S33" s="23">
        <f t="shared" si="2"/>
        <v>0</v>
      </c>
      <c r="T33" s="23">
        <f t="shared" si="2"/>
        <v>0</v>
      </c>
      <c r="U33" s="45">
        <f>IF(SUM(R33:T33)=0,0,SUM(R33:T33)/'Resid Cust Fcst '!BQ34)</f>
        <v>0</v>
      </c>
      <c r="V33" s="137">
        <f>'Resid Cust Fcst '!$BR34*'Resid TSM UC Adj'!R33</f>
        <v>0</v>
      </c>
      <c r="W33" s="23">
        <f>'Resid Cust Fcst '!$BR34*'Resid TSM UC Adj'!S33</f>
        <v>0</v>
      </c>
      <c r="X33" s="23">
        <f>'Resid Cust Fcst '!$BR34*'Resid TSM UC Adj'!T33</f>
        <v>0</v>
      </c>
      <c r="Y33" s="45">
        <f>IF(SUM(V33:X33)=0,0,SUM(V33:X33)/'Resid Cust Fcst '!BR34)</f>
        <v>0</v>
      </c>
      <c r="Z33" s="137">
        <f t="shared" si="3"/>
        <v>0</v>
      </c>
      <c r="AA33" s="23">
        <f t="shared" si="3"/>
        <v>0</v>
      </c>
      <c r="AB33" s="23">
        <f t="shared" si="3"/>
        <v>0</v>
      </c>
      <c r="AC33" s="45">
        <f>IF(SUM(Z33:AB33)=0,0,SUM(Z33:AB33)/'Resid Cust Fcst '!BS34)</f>
        <v>0</v>
      </c>
    </row>
    <row r="34" spans="1:29">
      <c r="A34" s="153" t="s">
        <v>125</v>
      </c>
      <c r="B34" s="137">
        <f>'Resid Cust Fcst '!$BM35*'Resid TSM UC Adj'!J34</f>
        <v>0</v>
      </c>
      <c r="C34" s="23">
        <f>'Resid Cust Fcst '!$BM35*'Resid TSM UC Adj'!K34</f>
        <v>0</v>
      </c>
      <c r="D34" s="23">
        <f>'Resid Cust Fcst '!$BM35*'Resid TSM UC Adj'!L34</f>
        <v>0</v>
      </c>
      <c r="E34" s="45">
        <f>IF(SUM(B34:D34)=0,0,SUM(B34:D34)/'Resid Cust Fcst '!BM35)</f>
        <v>0</v>
      </c>
      <c r="F34" s="137">
        <f>'Resid Cust Fcst '!$BN35*'Resid TSM UC Adj'!J34</f>
        <v>0</v>
      </c>
      <c r="G34" s="23">
        <f>'Resid Cust Fcst '!$BN35*'Resid TSM UC Adj'!K34</f>
        <v>0</v>
      </c>
      <c r="H34" s="23">
        <f>'Resid Cust Fcst '!$BN35*'Resid TSM UC Adj'!L34</f>
        <v>0</v>
      </c>
      <c r="I34" s="45">
        <f>IF(SUM(F34:H34)=0,0,SUM(F34:H34)/'Resid Cust Fcst '!BN35)</f>
        <v>0</v>
      </c>
      <c r="J34" s="137">
        <f>'Resid Cust Fcst '!$BO35*'Resid TSM UC Adj'!J34</f>
        <v>0</v>
      </c>
      <c r="K34" s="23">
        <f>'Resid Cust Fcst '!$BO35*'Resid TSM UC Adj'!K34</f>
        <v>0</v>
      </c>
      <c r="L34" s="23">
        <f>'Resid Cust Fcst '!$BO35*'Resid TSM UC Adj'!L34</f>
        <v>0</v>
      </c>
      <c r="M34" s="45">
        <f>IF(SUM(J34:L34)=0,0,SUM(J34:L34)/'Resid Cust Fcst '!BO35)</f>
        <v>0</v>
      </c>
      <c r="N34" s="137">
        <f>'Resid Cust Fcst '!$BP35*'Resid TSM UC Adj'!N34</f>
        <v>0</v>
      </c>
      <c r="O34" s="23">
        <f>'Resid Cust Fcst '!$BP35*'Resid TSM UC Adj'!O34</f>
        <v>0</v>
      </c>
      <c r="P34" s="23">
        <f>'Resid Cust Fcst '!$BP35*'Resid TSM UC Adj'!P34</f>
        <v>0</v>
      </c>
      <c r="Q34" s="45">
        <f>IF(SUM(N34:P34)=0,0,SUM(N34:P34)/'Resid Cust Fcst '!BP35)</f>
        <v>0</v>
      </c>
      <c r="R34" s="137">
        <f t="shared" si="2"/>
        <v>0</v>
      </c>
      <c r="S34" s="23">
        <f t="shared" si="2"/>
        <v>0</v>
      </c>
      <c r="T34" s="23">
        <f t="shared" si="2"/>
        <v>0</v>
      </c>
      <c r="U34" s="45">
        <f>IF(SUM(R34:T34)=0,0,SUM(R34:T34)/'Resid Cust Fcst '!BQ35)</f>
        <v>0</v>
      </c>
      <c r="V34" s="137">
        <f>'Resid Cust Fcst '!$BR35*'Resid TSM UC Adj'!R34</f>
        <v>0</v>
      </c>
      <c r="W34" s="23">
        <f>'Resid Cust Fcst '!$BR35*'Resid TSM UC Adj'!S34</f>
        <v>0</v>
      </c>
      <c r="X34" s="23">
        <f>'Resid Cust Fcst '!$BR35*'Resid TSM UC Adj'!T34</f>
        <v>0</v>
      </c>
      <c r="Y34" s="45">
        <f>IF(SUM(V34:X34)=0,0,SUM(V34:X34)/'Resid Cust Fcst '!BR35)</f>
        <v>0</v>
      </c>
      <c r="Z34" s="137">
        <f t="shared" si="3"/>
        <v>0</v>
      </c>
      <c r="AA34" s="23">
        <f t="shared" si="3"/>
        <v>0</v>
      </c>
      <c r="AB34" s="23">
        <f t="shared" si="3"/>
        <v>0</v>
      </c>
      <c r="AC34" s="45">
        <f>IF(SUM(Z34:AB34)=0,0,SUM(Z34:AB34)/'Resid Cust Fcst '!BS35)</f>
        <v>0</v>
      </c>
    </row>
    <row r="35" spans="1:29">
      <c r="A35" s="153" t="s">
        <v>126</v>
      </c>
      <c r="B35" s="137">
        <f>'Resid Cust Fcst '!$BM36*'Resid TSM UC Adj'!J35</f>
        <v>0</v>
      </c>
      <c r="C35" s="23">
        <f>'Resid Cust Fcst '!$BM36*'Resid TSM UC Adj'!K35</f>
        <v>0</v>
      </c>
      <c r="D35" s="23">
        <f>'Resid Cust Fcst '!$BM36*'Resid TSM UC Adj'!L35</f>
        <v>0</v>
      </c>
      <c r="E35" s="45">
        <f>IF(SUM(B35:D35)=0,0,SUM(B35:D35)/'Resid Cust Fcst '!BM36)</f>
        <v>0</v>
      </c>
      <c r="F35" s="137">
        <f>'Resid Cust Fcst '!$BN36*'Resid TSM UC Adj'!J35</f>
        <v>0</v>
      </c>
      <c r="G35" s="23">
        <f>'Resid Cust Fcst '!$BN36*'Resid TSM UC Adj'!K35</f>
        <v>0</v>
      </c>
      <c r="H35" s="23">
        <f>'Resid Cust Fcst '!$BN36*'Resid TSM UC Adj'!L35</f>
        <v>0</v>
      </c>
      <c r="I35" s="45">
        <f>IF(SUM(F35:H35)=0,0,SUM(F35:H35)/'Resid Cust Fcst '!BN36)</f>
        <v>0</v>
      </c>
      <c r="J35" s="137">
        <f>'Resid Cust Fcst '!$BO36*'Resid TSM UC Adj'!J35</f>
        <v>0</v>
      </c>
      <c r="K35" s="23">
        <f>'Resid Cust Fcst '!$BO36*'Resid TSM UC Adj'!K35</f>
        <v>0</v>
      </c>
      <c r="L35" s="23">
        <f>'Resid Cust Fcst '!$BO36*'Resid TSM UC Adj'!L35</f>
        <v>0</v>
      </c>
      <c r="M35" s="45">
        <f>IF(SUM(J35:L35)=0,0,SUM(J35:L35)/'Resid Cust Fcst '!BO36)</f>
        <v>0</v>
      </c>
      <c r="N35" s="137">
        <f>'Resid Cust Fcst '!$BP36*'Resid TSM UC Adj'!N35</f>
        <v>0</v>
      </c>
      <c r="O35" s="23">
        <f>'Resid Cust Fcst '!$BP36*'Resid TSM UC Adj'!O35</f>
        <v>0</v>
      </c>
      <c r="P35" s="23">
        <f>'Resid Cust Fcst '!$BP36*'Resid TSM UC Adj'!P35</f>
        <v>0</v>
      </c>
      <c r="Q35" s="45">
        <f>IF(SUM(N35:P35)=0,0,SUM(N35:P35)/'Resid Cust Fcst '!BP36)</f>
        <v>0</v>
      </c>
      <c r="R35" s="137">
        <f t="shared" si="2"/>
        <v>0</v>
      </c>
      <c r="S35" s="23">
        <f t="shared" si="2"/>
        <v>0</v>
      </c>
      <c r="T35" s="23">
        <f t="shared" si="2"/>
        <v>0</v>
      </c>
      <c r="U35" s="45">
        <f>IF(SUM(R35:T35)=0,0,SUM(R35:T35)/'Resid Cust Fcst '!BQ36)</f>
        <v>0</v>
      </c>
      <c r="V35" s="137">
        <f>'Resid Cust Fcst '!$BR36*'Resid TSM UC Adj'!R35</f>
        <v>0</v>
      </c>
      <c r="W35" s="23">
        <f>'Resid Cust Fcst '!$BR36*'Resid TSM UC Adj'!S35</f>
        <v>0</v>
      </c>
      <c r="X35" s="23">
        <f>'Resid Cust Fcst '!$BR36*'Resid TSM UC Adj'!T35</f>
        <v>0</v>
      </c>
      <c r="Y35" s="45">
        <f>IF(SUM(V35:X35)=0,0,SUM(V35:X35)/'Resid Cust Fcst '!BR36)</f>
        <v>0</v>
      </c>
      <c r="Z35" s="137">
        <f t="shared" si="3"/>
        <v>0</v>
      </c>
      <c r="AA35" s="23">
        <f t="shared" si="3"/>
        <v>0</v>
      </c>
      <c r="AB35" s="23">
        <f t="shared" si="3"/>
        <v>0</v>
      </c>
      <c r="AC35" s="45">
        <f>IF(SUM(Z35:AB35)=0,0,SUM(Z35:AB35)/'Resid Cust Fcst '!BS36)</f>
        <v>0</v>
      </c>
    </row>
    <row r="36" spans="1:29">
      <c r="A36" s="153" t="s">
        <v>26</v>
      </c>
      <c r="B36" s="137">
        <f>'Resid Cust Fcst '!$BM37*'Resid TSM UC Adj'!J36</f>
        <v>0</v>
      </c>
      <c r="C36" s="23">
        <f>'Resid Cust Fcst '!$BM37*'Resid TSM UC Adj'!K36</f>
        <v>0</v>
      </c>
      <c r="D36" s="23">
        <f>'Resid Cust Fcst '!$BM37*'Resid TSM UC Adj'!L36</f>
        <v>0</v>
      </c>
      <c r="E36" s="45">
        <f>IF(SUM(B36:D36)=0,0,SUM(B36:D36)/'Resid Cust Fcst '!BM37)</f>
        <v>0</v>
      </c>
      <c r="F36" s="137">
        <f>'Resid Cust Fcst '!$BN37*'Resid TSM UC Adj'!J36</f>
        <v>0</v>
      </c>
      <c r="G36" s="23">
        <f>'Resid Cust Fcst '!$BN37*'Resid TSM UC Adj'!K36</f>
        <v>0</v>
      </c>
      <c r="H36" s="23">
        <f>'Resid Cust Fcst '!$BN37*'Resid TSM UC Adj'!L36</f>
        <v>0</v>
      </c>
      <c r="I36" s="45">
        <f>IF(SUM(F36:H36)=0,0,SUM(F36:H36)/'Resid Cust Fcst '!BN37)</f>
        <v>0</v>
      </c>
      <c r="J36" s="137">
        <f>'Resid Cust Fcst '!$BO37*'Resid TSM UC Adj'!J36</f>
        <v>0</v>
      </c>
      <c r="K36" s="23">
        <f>'Resid Cust Fcst '!$BO37*'Resid TSM UC Adj'!K36</f>
        <v>0</v>
      </c>
      <c r="L36" s="23">
        <f>'Resid Cust Fcst '!$BO37*'Resid TSM UC Adj'!L36</f>
        <v>0</v>
      </c>
      <c r="M36" s="45">
        <f>IF(SUM(J36:L36)=0,0,SUM(J36:L36)/'Resid Cust Fcst '!BO37)</f>
        <v>0</v>
      </c>
      <c r="N36" s="137">
        <f>'Resid Cust Fcst '!$BP37*'Resid TSM UC Adj'!N36</f>
        <v>0</v>
      </c>
      <c r="O36" s="23">
        <f>'Resid Cust Fcst '!$BP37*'Resid TSM UC Adj'!O36</f>
        <v>0</v>
      </c>
      <c r="P36" s="23">
        <f>'Resid Cust Fcst '!$BP37*'Resid TSM UC Adj'!P36</f>
        <v>0</v>
      </c>
      <c r="Q36" s="45">
        <f>IF(SUM(N36:P36)=0,0,SUM(N36:P36)/'Resid Cust Fcst '!BP37)</f>
        <v>0</v>
      </c>
      <c r="R36" s="137">
        <f t="shared" si="2"/>
        <v>0</v>
      </c>
      <c r="S36" s="23">
        <f t="shared" si="2"/>
        <v>0</v>
      </c>
      <c r="T36" s="23">
        <f t="shared" si="2"/>
        <v>0</v>
      </c>
      <c r="U36" s="45">
        <f>IF(SUM(R36:T36)=0,0,SUM(R36:T36)/'Resid Cust Fcst '!BQ37)</f>
        <v>0</v>
      </c>
      <c r="V36" s="137">
        <f>'Resid Cust Fcst '!$BR37*'Resid TSM UC Adj'!R36</f>
        <v>0</v>
      </c>
      <c r="W36" s="23">
        <f>'Resid Cust Fcst '!$BR37*'Resid TSM UC Adj'!S36</f>
        <v>0</v>
      </c>
      <c r="X36" s="23">
        <f>'Resid Cust Fcst '!$BR37*'Resid TSM UC Adj'!T36</f>
        <v>0</v>
      </c>
      <c r="Y36" s="45">
        <f>IF(SUM(V36:X36)=0,0,SUM(V36:X36)/'Resid Cust Fcst '!BR37)</f>
        <v>0</v>
      </c>
      <c r="Z36" s="137">
        <f t="shared" si="3"/>
        <v>0</v>
      </c>
      <c r="AA36" s="23">
        <f t="shared" si="3"/>
        <v>0</v>
      </c>
      <c r="AB36" s="23">
        <f t="shared" si="3"/>
        <v>0</v>
      </c>
      <c r="AC36" s="45">
        <f>IF(SUM(Z36:AB36)=0,0,SUM(Z36:AB36)/'Resid Cust Fcst '!BS37)</f>
        <v>0</v>
      </c>
    </row>
    <row r="37" spans="1:29">
      <c r="A37" s="153" t="s">
        <v>27</v>
      </c>
      <c r="B37" s="137">
        <f>'Resid Cust Fcst '!$BM38*'Resid TSM UC Adj'!J37</f>
        <v>0</v>
      </c>
      <c r="C37" s="23">
        <f>'Resid Cust Fcst '!$BM38*'Resid TSM UC Adj'!K37</f>
        <v>0</v>
      </c>
      <c r="D37" s="23">
        <f>'Resid Cust Fcst '!$BM38*'Resid TSM UC Adj'!L37</f>
        <v>0</v>
      </c>
      <c r="E37" s="45">
        <f>IF(SUM(B37:D37)=0,0,SUM(B37:D37)/'Resid Cust Fcst '!BM38)</f>
        <v>0</v>
      </c>
      <c r="F37" s="137">
        <f>'Resid Cust Fcst '!$BN38*'Resid TSM UC Adj'!J37</f>
        <v>0</v>
      </c>
      <c r="G37" s="23">
        <f>'Resid Cust Fcst '!$BN38*'Resid TSM UC Adj'!K37</f>
        <v>0</v>
      </c>
      <c r="H37" s="23">
        <f>'Resid Cust Fcst '!$BN38*'Resid TSM UC Adj'!L37</f>
        <v>0</v>
      </c>
      <c r="I37" s="45">
        <f>IF(SUM(F37:H37)=0,0,SUM(F37:H37)/'Resid Cust Fcst '!BN38)</f>
        <v>0</v>
      </c>
      <c r="J37" s="137">
        <f>'Resid Cust Fcst '!$BO38*'Resid TSM UC Adj'!J37</f>
        <v>0</v>
      </c>
      <c r="K37" s="23">
        <f>'Resid Cust Fcst '!$BO38*'Resid TSM UC Adj'!K37</f>
        <v>0</v>
      </c>
      <c r="L37" s="23">
        <f>'Resid Cust Fcst '!$BO38*'Resid TSM UC Adj'!L37</f>
        <v>0</v>
      </c>
      <c r="M37" s="45">
        <f>IF(SUM(J37:L37)=0,0,SUM(J37:L37)/'Resid Cust Fcst '!BO38)</f>
        <v>0</v>
      </c>
      <c r="N37" s="137">
        <f>'Resid Cust Fcst '!$BP38*'Resid TSM UC Adj'!N37</f>
        <v>0</v>
      </c>
      <c r="O37" s="23">
        <f>'Resid Cust Fcst '!$BP38*'Resid TSM UC Adj'!O37</f>
        <v>0</v>
      </c>
      <c r="P37" s="23">
        <f>'Resid Cust Fcst '!$BP38*'Resid TSM UC Adj'!P37</f>
        <v>0</v>
      </c>
      <c r="Q37" s="45">
        <f>IF(SUM(N37:P37)=0,0,SUM(N37:P37)/'Resid Cust Fcst '!BP38)</f>
        <v>0</v>
      </c>
      <c r="R37" s="137">
        <f t="shared" si="2"/>
        <v>0</v>
      </c>
      <c r="S37" s="23">
        <f t="shared" si="2"/>
        <v>0</v>
      </c>
      <c r="T37" s="23">
        <f t="shared" si="2"/>
        <v>0</v>
      </c>
      <c r="U37" s="45">
        <f>IF(SUM(R37:T37)=0,0,SUM(R37:T37)/'Resid Cust Fcst '!BQ38)</f>
        <v>0</v>
      </c>
      <c r="V37" s="137">
        <f>'Resid Cust Fcst '!$BR38*'Resid TSM UC Adj'!R37</f>
        <v>0</v>
      </c>
      <c r="W37" s="23">
        <f>'Resid Cust Fcst '!$BR38*'Resid TSM UC Adj'!S37</f>
        <v>0</v>
      </c>
      <c r="X37" s="23">
        <f>'Resid Cust Fcst '!$BR38*'Resid TSM UC Adj'!T37</f>
        <v>0</v>
      </c>
      <c r="Y37" s="45">
        <f>IF(SUM(V37:X37)=0,0,SUM(V37:X37)/'Resid Cust Fcst '!BR38)</f>
        <v>0</v>
      </c>
      <c r="Z37" s="137">
        <f t="shared" si="3"/>
        <v>0</v>
      </c>
      <c r="AA37" s="23">
        <f t="shared" si="3"/>
        <v>0</v>
      </c>
      <c r="AB37" s="23">
        <f t="shared" si="3"/>
        <v>0</v>
      </c>
      <c r="AC37" s="45">
        <f>IF(SUM(Z37:AB37)=0,0,SUM(Z37:AB37)/'Resid Cust Fcst '!BS38)</f>
        <v>0</v>
      </c>
    </row>
    <row r="38" spans="1:29" ht="13.5" thickBot="1">
      <c r="A38" s="156"/>
      <c r="B38" s="137"/>
      <c r="C38" s="23"/>
      <c r="D38" s="23"/>
      <c r="E38" s="45"/>
      <c r="F38" s="137"/>
      <c r="G38" s="23"/>
      <c r="H38" s="23"/>
      <c r="I38" s="45"/>
      <c r="J38" s="137"/>
      <c r="K38" s="23"/>
      <c r="L38" s="23"/>
      <c r="M38" s="45"/>
      <c r="N38" s="137"/>
      <c r="O38" s="23"/>
      <c r="P38" s="23"/>
      <c r="Q38" s="45"/>
      <c r="R38" s="244"/>
      <c r="S38" s="240"/>
      <c r="T38" s="240"/>
      <c r="U38" s="249"/>
      <c r="V38" s="137"/>
      <c r="W38" s="23"/>
      <c r="X38" s="23"/>
      <c r="Y38" s="45"/>
      <c r="Z38" s="137"/>
      <c r="AA38" s="23"/>
      <c r="AB38" s="23"/>
      <c r="AC38" s="45"/>
    </row>
    <row r="39" spans="1:29" ht="13.5" thickBot="1">
      <c r="A39" s="245" t="s">
        <v>2</v>
      </c>
      <c r="B39" s="317">
        <f>IF(SUM(B7:B37)=0,0,SUM(B7:B37)/'Resid Cust Fcst '!$BM$40)</f>
        <v>875.48168447526098</v>
      </c>
      <c r="C39" s="318">
        <f>IF(SUM(C7:C37)=0,0,SUM(C7:C37)/'Resid Cust Fcst '!$BM$40)</f>
        <v>194.21680888821919</v>
      </c>
      <c r="D39" s="318">
        <f>IF(SUM(D7:D37)=0,0,SUM(D7:D37)/'Resid Cust Fcst '!$BM$40)</f>
        <v>246.24333484162895</v>
      </c>
      <c r="E39" s="319">
        <f>SUM(B39:D39)</f>
        <v>1315.941828205109</v>
      </c>
      <c r="F39" s="317">
        <f>IF(SUM(F7:F37)=0,0,SUM(F7:F37)/'Resid Cust Fcst '!$BN$40)</f>
        <v>1532.7891205804751</v>
      </c>
      <c r="G39" s="318">
        <f>IF(SUM(G7:G37)=0,0,SUM(G7:G37)/'Resid Cust Fcst '!$BN$40)</f>
        <v>843.57132688674881</v>
      </c>
      <c r="H39" s="318">
        <f>IF(SUM(H7:H37)=0,0,SUM(H7:H37)/'Resid Cust Fcst '!$BN$40)</f>
        <v>373.18</v>
      </c>
      <c r="I39" s="319">
        <f>SUM(F39:H39)</f>
        <v>2749.5404474672237</v>
      </c>
      <c r="J39" s="317">
        <f>IF(SUM(J7:J37)=0,0,SUM(J7:J37)/'Resid Cust Fcst '!$BO$40)</f>
        <v>1540.3309859154797</v>
      </c>
      <c r="K39" s="318">
        <f>IF(SUM(K7:K37)=0,0,SUM(K7:K37)/'Resid Cust Fcst '!$BO$40)</f>
        <v>1104.2221319075059</v>
      </c>
      <c r="L39" s="318">
        <f>IF(SUM(L7:L37)=0,0,SUM(L7:L37)/'Resid Cust Fcst '!$BO$40)</f>
        <v>373.18</v>
      </c>
      <c r="M39" s="319">
        <f>SUM(J39:L39)</f>
        <v>3017.7331178229856</v>
      </c>
      <c r="N39" s="317">
        <f>IF(SUM(N7:N37)=0,0,SUM(N7:N37)/'Resid Cust Fcst '!$BP$40)</f>
        <v>0</v>
      </c>
      <c r="O39" s="318">
        <f>IF(SUM(O7:O37)=0,0,SUM(O7:O37)/'Resid Cust Fcst '!$BP$40)</f>
        <v>0</v>
      </c>
      <c r="P39" s="318">
        <f>IF(SUM(P7:P37)=0,0,SUM(P7:P37)/'Resid Cust Fcst '!$BP$40)</f>
        <v>0</v>
      </c>
      <c r="Q39" s="319">
        <f>SUM(N39:P39)</f>
        <v>0</v>
      </c>
      <c r="R39" s="317">
        <f>IF(SUM(R7:R37)=0,0,SUM(R7:R37)/'Resid Cust Fcst '!$BQ$40)</f>
        <v>876.20274630143206</v>
      </c>
      <c r="S39" s="318">
        <f>IF(SUM(S7:S37)=0,0,SUM(S7:S37)/'Resid Cust Fcst '!$BQ$40)</f>
        <v>195.11291333869841</v>
      </c>
      <c r="T39" s="318">
        <f>IF(SUM(T7:T37)=0,0,SUM(T7:T37)/'Resid Cust Fcst '!$BQ$40)</f>
        <v>246.38152644516413</v>
      </c>
      <c r="U39" s="319">
        <f>SUM(R39:T39)</f>
        <v>1317.6971860852946</v>
      </c>
      <c r="V39" s="317">
        <f>IF(SUM(V7:V37)=0,0,SUM(V7:V37)/'Resid Cust Fcst '!$BR$40)</f>
        <v>0</v>
      </c>
      <c r="W39" s="318">
        <f>IF(SUM(W7:W37)=0,0,SUM(W7:W37)/'Resid Cust Fcst '!$BR$40)</f>
        <v>0</v>
      </c>
      <c r="X39" s="318">
        <f>IF(SUM(X7:X37)=0,0,SUM(X7:X37)/'Resid Cust Fcst '!$BR$40)</f>
        <v>0</v>
      </c>
      <c r="Y39" s="319">
        <f>SUM(V39:X39)</f>
        <v>0</v>
      </c>
      <c r="Z39" s="317">
        <f>IF(SUM(Z7:Z37)=0,0,SUM(Z7:Z37)/'Resid Cust Fcst '!$BS$40)</f>
        <v>876.20274630143206</v>
      </c>
      <c r="AA39" s="318">
        <f>IF(SUM(AA7:AA37)=0,0,SUM(AA7:AA37)/'Resid Cust Fcst '!$BS$40)</f>
        <v>195.11291333869841</v>
      </c>
      <c r="AB39" s="318">
        <f>IF(SUM(AB7:AB37)=0,0,SUM(AB7:AB37)/'Resid Cust Fcst '!$BS$40)</f>
        <v>246.38152644516413</v>
      </c>
      <c r="AC39" s="319">
        <f>SUM(Z39:AB39)</f>
        <v>1317.6971860852946</v>
      </c>
    </row>
    <row r="40" spans="1:29">
      <c r="A40" s="55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</row>
    <row r="41" spans="1:29">
      <c r="A41" s="340" t="s">
        <v>102</v>
      </c>
      <c r="B41" s="18"/>
      <c r="C41" s="18"/>
      <c r="D41" s="18"/>
      <c r="E41" s="23">
        <f>IF(SUM(B7:D37)=0,0,SUM(B7:D37)/'Resid Cust Fcst '!BM40)-E39</f>
        <v>0</v>
      </c>
      <c r="F41" s="18"/>
      <c r="G41" s="18"/>
      <c r="H41" s="18"/>
      <c r="I41" s="23">
        <f>IF(SUM(F7:H37)=0,0,SUM(F7:H37)/'Resid Cust Fcst '!BN40)-I39</f>
        <v>0</v>
      </c>
      <c r="J41" s="18"/>
      <c r="K41" s="18"/>
      <c r="L41" s="18"/>
      <c r="M41" s="23">
        <f>IF(SUM(J7:L37)=0,0,SUM(J7:L37)/'Resid Cust Fcst '!BO40)-M39</f>
        <v>0</v>
      </c>
      <c r="N41" s="18"/>
      <c r="O41" s="18"/>
      <c r="P41" s="18"/>
      <c r="Q41" s="23">
        <f>IF(SUM(N7:P37)=0,0,SUM(N7:P37)/'Resid Cust Fcst '!BP40)-Q39</f>
        <v>0</v>
      </c>
      <c r="R41" s="18"/>
      <c r="S41" s="18"/>
      <c r="T41" s="18"/>
      <c r="U41" s="23">
        <f>IF(SUM(R7:T37)=0,0,SUM(R7:T37)/'Resid Cust Fcst '!BQ40)-U39</f>
        <v>0</v>
      </c>
      <c r="V41" s="18"/>
      <c r="W41" s="18"/>
      <c r="X41" s="18"/>
      <c r="Y41" s="23">
        <f>IF(SUM(V7:X37)=0,0,SUM(V7:X37)/'Resid Cust Fcst '!BR40)-Y39</f>
        <v>0</v>
      </c>
      <c r="Z41" s="18"/>
      <c r="AA41" s="18"/>
      <c r="AB41" s="18"/>
      <c r="AC41" s="23">
        <f>IF(SUM(Z7:AB37)=0,0,SUM(Z7:AB37)/'Resid Cust Fcst '!BS40)-AC39</f>
        <v>0</v>
      </c>
    </row>
    <row r="42" spans="1:29">
      <c r="N42" s="56"/>
      <c r="O42" s="56"/>
      <c r="P42" s="56"/>
    </row>
    <row r="43" spans="1:29">
      <c r="N43" s="56"/>
      <c r="O43" s="56"/>
      <c r="P43" s="56"/>
    </row>
    <row r="44" spans="1:29">
      <c r="A44" s="19"/>
      <c r="N44" s="18"/>
      <c r="O44" s="18"/>
      <c r="P44" s="18"/>
    </row>
    <row r="56" spans="1:1">
      <c r="A56" s="19"/>
    </row>
  </sheetData>
  <mergeCells count="9">
    <mergeCell ref="A1:Y1"/>
    <mergeCell ref="B2:U2"/>
    <mergeCell ref="V2:Y2"/>
    <mergeCell ref="Z2:AC2"/>
    <mergeCell ref="B3:E3"/>
    <mergeCell ref="F3:I3"/>
    <mergeCell ref="J3:M3"/>
    <mergeCell ref="N3:Q3"/>
    <mergeCell ref="R3:U3"/>
  </mergeCells>
  <printOptions horizontalCentered="1"/>
  <pageMargins left="0.75" right="0.75" top="1" bottom="1" header="0.5" footer="0.5"/>
  <pageSetup scale="40" orientation="portrait" r:id="rId1"/>
  <headerFooter alignWithMargins="0">
    <oddFooter>&amp;L&amp;F
&amp;A&amp;R&amp;P of &amp;N</oddFooter>
  </headerFooter>
  <colBreaks count="1" manualBreakCount="1">
    <brk id="17" max="38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17">
    <tabColor rgb="FF00642D"/>
  </sheetPr>
  <dimension ref="A1:HM51"/>
  <sheetViews>
    <sheetView zoomScaleNormal="100" workbookViewId="0">
      <pane xSplit="1" topLeftCell="B1" activePane="topRight" state="frozen"/>
      <selection pane="topRight" activeCell="M38" sqref="M38"/>
    </sheetView>
  </sheetViews>
  <sheetFormatPr defaultRowHeight="12.75"/>
  <cols>
    <col min="1" max="1" width="28.7109375" customWidth="1"/>
    <col min="2" max="5" width="7.5703125" customWidth="1"/>
    <col min="6" max="6" width="9" bestFit="1" customWidth="1"/>
    <col min="7" max="8" width="7.5703125" customWidth="1"/>
    <col min="9" max="12" width="8.7109375" customWidth="1"/>
    <col min="13" max="13" width="9.7109375" bestFit="1" customWidth="1"/>
    <col min="14" max="14" width="8.7109375" customWidth="1"/>
    <col min="15" max="15" width="6.5703125" bestFit="1" customWidth="1"/>
    <col min="16" max="19" width="8.7109375" customWidth="1"/>
    <col min="20" max="20" width="9.7109375" bestFit="1" customWidth="1"/>
    <col min="21" max="33" width="8.7109375" customWidth="1"/>
    <col min="34" max="34" width="10.7109375" bestFit="1" customWidth="1"/>
    <col min="35" max="36" width="8.7109375" customWidth="1"/>
  </cols>
  <sheetData>
    <row r="1" spans="1:221" ht="18.75" thickBot="1">
      <c r="A1" s="826" t="s">
        <v>271</v>
      </c>
      <c r="B1" s="826"/>
      <c r="C1" s="826"/>
      <c r="D1" s="826"/>
      <c r="E1" s="826"/>
      <c r="F1" s="826"/>
      <c r="G1" s="826"/>
      <c r="H1" s="826"/>
      <c r="I1" s="826"/>
      <c r="J1" s="826"/>
      <c r="K1" s="826"/>
      <c r="L1" s="826"/>
      <c r="M1" s="826"/>
      <c r="N1" s="826"/>
      <c r="O1" s="826"/>
      <c r="P1" s="826"/>
      <c r="Q1" s="826"/>
      <c r="R1" s="826"/>
      <c r="S1" s="826"/>
      <c r="T1" s="826"/>
      <c r="U1" s="826"/>
      <c r="V1" s="826"/>
      <c r="W1" s="845"/>
      <c r="X1" s="845"/>
      <c r="Y1" s="845"/>
      <c r="Z1" s="845"/>
      <c r="AA1" s="845"/>
      <c r="AB1" s="845"/>
      <c r="AC1" s="845"/>
      <c r="AD1" s="845"/>
      <c r="AE1" s="845"/>
      <c r="AF1" s="845"/>
      <c r="AG1" s="845"/>
      <c r="AH1" s="845"/>
      <c r="AI1" s="845"/>
      <c r="AJ1" s="845"/>
    </row>
    <row r="2" spans="1:221" ht="13.5" thickBot="1">
      <c r="A2" s="68"/>
      <c r="B2" s="827" t="s">
        <v>406</v>
      </c>
      <c r="C2" s="828"/>
      <c r="D2" s="828"/>
      <c r="E2" s="828"/>
      <c r="F2" s="828"/>
      <c r="G2" s="828"/>
      <c r="H2" s="829"/>
      <c r="I2" s="828" t="s">
        <v>78</v>
      </c>
      <c r="J2" s="828"/>
      <c r="K2" s="828"/>
      <c r="L2" s="828"/>
      <c r="M2" s="828"/>
      <c r="N2" s="828"/>
      <c r="O2" s="829"/>
      <c r="P2" s="827" t="s">
        <v>79</v>
      </c>
      <c r="Q2" s="828"/>
      <c r="R2" s="828"/>
      <c r="S2" s="828"/>
      <c r="T2" s="828"/>
      <c r="U2" s="828"/>
      <c r="V2" s="828"/>
      <c r="W2" s="827" t="s">
        <v>213</v>
      </c>
      <c r="X2" s="828"/>
      <c r="Y2" s="828"/>
      <c r="Z2" s="828"/>
      <c r="AA2" s="828"/>
      <c r="AB2" s="828"/>
      <c r="AC2" s="828"/>
      <c r="AD2" s="827" t="s">
        <v>119</v>
      </c>
      <c r="AE2" s="828"/>
      <c r="AF2" s="828"/>
      <c r="AG2" s="828"/>
      <c r="AH2" s="828"/>
      <c r="AI2" s="828"/>
      <c r="AJ2" s="829"/>
    </row>
    <row r="3" spans="1:221" ht="13.5" thickBot="1">
      <c r="A3" s="68"/>
      <c r="B3" s="827" t="s">
        <v>0</v>
      </c>
      <c r="C3" s="828"/>
      <c r="D3" s="828"/>
      <c r="E3" s="828"/>
      <c r="F3" s="828"/>
      <c r="G3" s="271"/>
      <c r="H3" s="287"/>
      <c r="I3" s="827" t="s">
        <v>0</v>
      </c>
      <c r="J3" s="828"/>
      <c r="K3" s="828"/>
      <c r="L3" s="828"/>
      <c r="M3" s="829"/>
      <c r="N3" s="131"/>
      <c r="O3" s="279"/>
      <c r="P3" s="836" t="s">
        <v>0</v>
      </c>
      <c r="Q3" s="830"/>
      <c r="R3" s="830"/>
      <c r="S3" s="830"/>
      <c r="T3" s="831"/>
      <c r="U3" s="131"/>
      <c r="V3" s="131"/>
      <c r="W3" s="830" t="s">
        <v>0</v>
      </c>
      <c r="X3" s="830"/>
      <c r="Y3" s="830"/>
      <c r="Z3" s="830"/>
      <c r="AA3" s="830"/>
      <c r="AB3" s="131"/>
      <c r="AC3" s="420"/>
      <c r="AD3" s="827" t="s">
        <v>0</v>
      </c>
      <c r="AE3" s="828"/>
      <c r="AF3" s="828"/>
      <c r="AG3" s="828"/>
      <c r="AH3" s="828"/>
      <c r="AI3" s="131"/>
      <c r="AJ3" s="273"/>
    </row>
    <row r="4" spans="1:221">
      <c r="A4" s="68"/>
      <c r="B4" s="483" t="s">
        <v>32</v>
      </c>
      <c r="C4" s="484" t="s">
        <v>32</v>
      </c>
      <c r="D4" s="484" t="s">
        <v>33</v>
      </c>
      <c r="E4" s="484" t="s">
        <v>34</v>
      </c>
      <c r="F4" s="484"/>
      <c r="G4" s="196"/>
      <c r="H4" s="485"/>
      <c r="I4" s="68" t="s">
        <v>32</v>
      </c>
      <c r="J4" s="272" t="s">
        <v>32</v>
      </c>
      <c r="K4" s="272" t="s">
        <v>33</v>
      </c>
      <c r="L4" s="272" t="s">
        <v>34</v>
      </c>
      <c r="M4" s="273"/>
      <c r="N4" s="196"/>
      <c r="O4" s="273"/>
      <c r="P4" s="308" t="s">
        <v>32</v>
      </c>
      <c r="Q4" s="309" t="s">
        <v>32</v>
      </c>
      <c r="R4" s="309" t="s">
        <v>33</v>
      </c>
      <c r="S4" s="309" t="s">
        <v>34</v>
      </c>
      <c r="T4" s="310"/>
      <c r="U4" s="310"/>
      <c r="V4" s="196"/>
      <c r="W4" s="416" t="s">
        <v>32</v>
      </c>
      <c r="X4" s="416" t="s">
        <v>32</v>
      </c>
      <c r="Y4" s="416" t="s">
        <v>33</v>
      </c>
      <c r="Z4" s="416" t="s">
        <v>34</v>
      </c>
      <c r="AA4" s="416"/>
      <c r="AB4" s="131"/>
      <c r="AC4" s="420"/>
      <c r="AD4" s="308" t="s">
        <v>32</v>
      </c>
      <c r="AE4" s="309" t="s">
        <v>32</v>
      </c>
      <c r="AF4" s="309" t="s">
        <v>33</v>
      </c>
      <c r="AG4" s="309" t="s">
        <v>34</v>
      </c>
      <c r="AH4" s="310"/>
      <c r="AI4" s="196"/>
      <c r="AJ4" s="273"/>
    </row>
    <row r="5" spans="1:221" ht="13.5" thickBot="1">
      <c r="A5" s="68" t="s">
        <v>4</v>
      </c>
      <c r="B5" s="98" t="s">
        <v>118</v>
      </c>
      <c r="C5" s="28" t="s">
        <v>112</v>
      </c>
      <c r="D5" s="28" t="s">
        <v>112</v>
      </c>
      <c r="E5" s="28" t="s">
        <v>112</v>
      </c>
      <c r="F5" s="28" t="s">
        <v>270</v>
      </c>
      <c r="G5" s="338" t="s">
        <v>1</v>
      </c>
      <c r="H5" s="191" t="s">
        <v>2</v>
      </c>
      <c r="I5" s="98" t="s">
        <v>118</v>
      </c>
      <c r="J5" s="28" t="s">
        <v>112</v>
      </c>
      <c r="K5" s="28" t="s">
        <v>112</v>
      </c>
      <c r="L5" s="28" t="s">
        <v>112</v>
      </c>
      <c r="M5" s="136" t="s">
        <v>270</v>
      </c>
      <c r="N5" s="338" t="s">
        <v>1</v>
      </c>
      <c r="O5" s="191" t="s">
        <v>2</v>
      </c>
      <c r="P5" s="98" t="s">
        <v>118</v>
      </c>
      <c r="Q5" s="28" t="s">
        <v>112</v>
      </c>
      <c r="R5" s="28" t="s">
        <v>112</v>
      </c>
      <c r="S5" s="28" t="s">
        <v>112</v>
      </c>
      <c r="T5" s="136" t="s">
        <v>270</v>
      </c>
      <c r="U5" s="191" t="s">
        <v>1</v>
      </c>
      <c r="V5" s="338" t="s">
        <v>2</v>
      </c>
      <c r="W5" s="28" t="s">
        <v>118</v>
      </c>
      <c r="X5" s="28" t="s">
        <v>112</v>
      </c>
      <c r="Y5" s="28" t="s">
        <v>112</v>
      </c>
      <c r="Z5" s="28" t="s">
        <v>112</v>
      </c>
      <c r="AA5" s="136" t="s">
        <v>270</v>
      </c>
      <c r="AB5" s="338" t="s">
        <v>1</v>
      </c>
      <c r="AC5" s="190" t="s">
        <v>2</v>
      </c>
      <c r="AD5" s="98" t="s">
        <v>118</v>
      </c>
      <c r="AE5" s="28" t="s">
        <v>112</v>
      </c>
      <c r="AF5" s="28" t="s">
        <v>112</v>
      </c>
      <c r="AG5" s="28" t="s">
        <v>112</v>
      </c>
      <c r="AH5" s="136" t="s">
        <v>270</v>
      </c>
      <c r="AI5" s="338" t="s">
        <v>1</v>
      </c>
      <c r="AJ5" s="202" t="s">
        <v>2</v>
      </c>
    </row>
    <row r="6" spans="1:221">
      <c r="A6" s="5"/>
      <c r="B6" s="5" t="s">
        <v>45</v>
      </c>
      <c r="C6" s="6" t="s">
        <v>45</v>
      </c>
      <c r="D6" s="6" t="s">
        <v>45</v>
      </c>
      <c r="E6" s="6" t="s">
        <v>45</v>
      </c>
      <c r="F6" s="6" t="s">
        <v>45</v>
      </c>
      <c r="G6" s="134" t="s">
        <v>45</v>
      </c>
      <c r="H6" s="133" t="s">
        <v>45</v>
      </c>
      <c r="I6" s="6" t="s">
        <v>45</v>
      </c>
      <c r="J6" s="6" t="s">
        <v>45</v>
      </c>
      <c r="K6" s="6" t="s">
        <v>45</v>
      </c>
      <c r="L6" s="6" t="s">
        <v>45</v>
      </c>
      <c r="M6" s="6" t="s">
        <v>45</v>
      </c>
      <c r="N6" s="133" t="s">
        <v>45</v>
      </c>
      <c r="O6" s="7" t="s">
        <v>45</v>
      </c>
      <c r="P6" s="132" t="s">
        <v>45</v>
      </c>
      <c r="Q6" s="8" t="s">
        <v>45</v>
      </c>
      <c r="R6" s="8" t="s">
        <v>45</v>
      </c>
      <c r="S6" s="8" t="s">
        <v>45</v>
      </c>
      <c r="T6" s="9" t="s">
        <v>45</v>
      </c>
      <c r="U6" s="9" t="s">
        <v>45</v>
      </c>
      <c r="V6" s="134" t="s">
        <v>45</v>
      </c>
      <c r="W6" s="8" t="s">
        <v>45</v>
      </c>
      <c r="X6" s="8" t="s">
        <v>45</v>
      </c>
      <c r="Y6" s="8" t="s">
        <v>45</v>
      </c>
      <c r="Z6" s="8" t="s">
        <v>45</v>
      </c>
      <c r="AA6" s="8" t="s">
        <v>45</v>
      </c>
      <c r="AB6" s="134" t="s">
        <v>45</v>
      </c>
      <c r="AC6" s="8" t="s">
        <v>45</v>
      </c>
      <c r="AD6" s="5" t="s">
        <v>45</v>
      </c>
      <c r="AE6" s="6" t="s">
        <v>45</v>
      </c>
      <c r="AF6" s="6" t="s">
        <v>45</v>
      </c>
      <c r="AG6" s="6" t="s">
        <v>45</v>
      </c>
      <c r="AH6" s="7" t="s">
        <v>45</v>
      </c>
      <c r="AI6" s="133" t="s">
        <v>45</v>
      </c>
      <c r="AJ6" s="7" t="s">
        <v>45</v>
      </c>
    </row>
    <row r="7" spans="1:221">
      <c r="A7" s="132"/>
      <c r="B7" s="8"/>
      <c r="C7" s="8"/>
      <c r="D7" s="8"/>
      <c r="E7" s="8"/>
      <c r="F7" s="8"/>
      <c r="G7" s="134"/>
      <c r="H7" s="134"/>
      <c r="I7" s="8"/>
      <c r="J7" s="8"/>
      <c r="K7" s="8"/>
      <c r="L7" s="8"/>
      <c r="M7" s="9"/>
      <c r="N7" s="134"/>
      <c r="O7" s="9"/>
      <c r="P7" s="132"/>
      <c r="Q7" s="8"/>
      <c r="R7" s="8"/>
      <c r="S7" s="8"/>
      <c r="T7" s="9"/>
      <c r="U7" s="9"/>
      <c r="V7" s="134"/>
      <c r="W7" s="8"/>
      <c r="X7" s="8"/>
      <c r="Y7" s="8"/>
      <c r="Z7" s="8"/>
      <c r="AA7" s="8"/>
      <c r="AB7" s="134"/>
      <c r="AC7" s="8"/>
      <c r="AD7" s="132"/>
      <c r="AE7" s="8"/>
      <c r="AF7" s="8"/>
      <c r="AG7" s="8"/>
      <c r="AH7" s="9"/>
      <c r="AI7" s="134"/>
      <c r="AJ7" s="9"/>
    </row>
    <row r="8" spans="1:221">
      <c r="A8" s="21" t="s">
        <v>5</v>
      </c>
      <c r="B8" s="571">
        <v>23175</v>
      </c>
      <c r="C8" s="572">
        <v>859</v>
      </c>
      <c r="D8" s="572">
        <v>7898</v>
      </c>
      <c r="E8" s="572">
        <v>949</v>
      </c>
      <c r="F8" s="260">
        <f>SUM(B8:E8)</f>
        <v>32881</v>
      </c>
      <c r="G8" s="573">
        <v>5</v>
      </c>
      <c r="H8" s="253">
        <f>F8+G8</f>
        <v>32886</v>
      </c>
      <c r="I8" s="572">
        <v>6146</v>
      </c>
      <c r="J8" s="572">
        <v>4</v>
      </c>
      <c r="K8" s="572">
        <v>17</v>
      </c>
      <c r="L8" s="572">
        <v>17</v>
      </c>
      <c r="M8" s="258">
        <f>SUM(I8:L8)</f>
        <v>6184</v>
      </c>
      <c r="N8" s="253"/>
      <c r="O8" s="258">
        <f>M8+N8</f>
        <v>6184</v>
      </c>
      <c r="P8" s="571">
        <v>2</v>
      </c>
      <c r="Q8" s="572">
        <v>0</v>
      </c>
      <c r="R8" s="572">
        <v>0</v>
      </c>
      <c r="S8" s="572">
        <v>0</v>
      </c>
      <c r="T8" s="261">
        <f t="shared" ref="T8:T15" si="0">SUM(P8:S8)</f>
        <v>2</v>
      </c>
      <c r="U8" s="261"/>
      <c r="V8" s="112">
        <f t="shared" ref="V8:V15" si="1">T8+U8</f>
        <v>2</v>
      </c>
      <c r="W8" s="768">
        <v>3</v>
      </c>
      <c r="X8" s="768"/>
      <c r="Y8" s="768"/>
      <c r="Z8" s="768"/>
      <c r="AA8" s="769">
        <f>SUM(W8:Z8)</f>
        <v>3</v>
      </c>
      <c r="AB8" s="112"/>
      <c r="AC8" s="107">
        <f>AA8+AB8</f>
        <v>3</v>
      </c>
      <c r="AD8" s="571">
        <f>B8+I8+P8+W8</f>
        <v>29326</v>
      </c>
      <c r="AE8" s="572">
        <f t="shared" ref="AE8:AG23" si="2">C8+J8+Q8+X8</f>
        <v>863</v>
      </c>
      <c r="AF8" s="572">
        <f t="shared" si="2"/>
        <v>7915</v>
      </c>
      <c r="AG8" s="572">
        <f t="shared" si="2"/>
        <v>966</v>
      </c>
      <c r="AH8" s="258">
        <f>SUM(AD8:AG8)</f>
        <v>39070</v>
      </c>
      <c r="AI8" s="573">
        <f>G8+N8+U8+AB8</f>
        <v>5</v>
      </c>
      <c r="AJ8" s="258">
        <f>AH8+AI8</f>
        <v>39075</v>
      </c>
      <c r="AN8" s="401"/>
    </row>
    <row r="9" spans="1:221">
      <c r="A9" s="512" t="s">
        <v>251</v>
      </c>
      <c r="B9" s="571">
        <v>8104</v>
      </c>
      <c r="C9" s="572">
        <v>742</v>
      </c>
      <c r="D9" s="572">
        <v>8151</v>
      </c>
      <c r="E9" s="572">
        <v>624</v>
      </c>
      <c r="F9" s="260">
        <f>SUM(B9:E9)</f>
        <v>17621</v>
      </c>
      <c r="G9" s="573">
        <v>1</v>
      </c>
      <c r="H9" s="253">
        <f>F9+G9</f>
        <v>17622</v>
      </c>
      <c r="I9" s="572">
        <v>568</v>
      </c>
      <c r="J9" s="572">
        <v>4</v>
      </c>
      <c r="K9" s="572">
        <v>35</v>
      </c>
      <c r="L9" s="572">
        <v>24</v>
      </c>
      <c r="M9" s="258">
        <f t="shared" ref="M9:M12" si="3">SUM(I9:L9)</f>
        <v>631</v>
      </c>
      <c r="N9" s="253"/>
      <c r="O9" s="258">
        <f t="shared" ref="O9:O12" si="4">M9+N9</f>
        <v>631</v>
      </c>
      <c r="P9" s="571">
        <v>1</v>
      </c>
      <c r="Q9" s="572">
        <v>0</v>
      </c>
      <c r="R9" s="572">
        <v>0</v>
      </c>
      <c r="S9" s="572">
        <v>0</v>
      </c>
      <c r="T9" s="261">
        <f t="shared" si="0"/>
        <v>1</v>
      </c>
      <c r="U9" s="261"/>
      <c r="V9" s="112">
        <f t="shared" si="1"/>
        <v>1</v>
      </c>
      <c r="W9" s="768">
        <v>11</v>
      </c>
      <c r="X9" s="768"/>
      <c r="Y9" s="768"/>
      <c r="Z9" s="768"/>
      <c r="AA9" s="769">
        <f>SUM(W9:Z9)</f>
        <v>11</v>
      </c>
      <c r="AB9" s="112"/>
      <c r="AC9" s="107">
        <f>AA9+AB9</f>
        <v>11</v>
      </c>
      <c r="AD9" s="571">
        <f t="shared" ref="AD9:AD27" si="5">B9+I9+P9+W9</f>
        <v>8684</v>
      </c>
      <c r="AE9" s="572">
        <f t="shared" si="2"/>
        <v>746</v>
      </c>
      <c r="AF9" s="572">
        <f t="shared" si="2"/>
        <v>8186</v>
      </c>
      <c r="AG9" s="572">
        <f t="shared" si="2"/>
        <v>648</v>
      </c>
      <c r="AH9" s="258">
        <f>SUM(AD9:AG9)</f>
        <v>18264</v>
      </c>
      <c r="AI9" s="573">
        <f t="shared" ref="AI9:AI36" si="6">G9+N9+U9+AB9</f>
        <v>1</v>
      </c>
      <c r="AJ9" s="258">
        <f>AH9+AI9</f>
        <v>18265</v>
      </c>
      <c r="AN9" s="401"/>
    </row>
    <row r="10" spans="1:221">
      <c r="A10" s="512" t="s">
        <v>252</v>
      </c>
      <c r="B10" s="571">
        <v>6242</v>
      </c>
      <c r="C10" s="572">
        <v>778</v>
      </c>
      <c r="D10" s="572">
        <v>9124</v>
      </c>
      <c r="E10" s="572">
        <v>673</v>
      </c>
      <c r="F10" s="260">
        <f t="shared" ref="F10:F27" si="7">SUM(B10:E10)</f>
        <v>16817</v>
      </c>
      <c r="G10" s="573">
        <v>0</v>
      </c>
      <c r="H10" s="253">
        <f t="shared" ref="H10:H36" si="8">F10+G10</f>
        <v>16817</v>
      </c>
      <c r="I10" s="572">
        <v>82</v>
      </c>
      <c r="J10" s="572"/>
      <c r="K10" s="572">
        <v>13</v>
      </c>
      <c r="L10" s="572">
        <v>10</v>
      </c>
      <c r="M10" s="258">
        <f t="shared" si="3"/>
        <v>105</v>
      </c>
      <c r="N10" s="253"/>
      <c r="O10" s="258">
        <f t="shared" si="4"/>
        <v>105</v>
      </c>
      <c r="P10" s="571">
        <v>1</v>
      </c>
      <c r="Q10" s="572">
        <v>2</v>
      </c>
      <c r="R10" s="572">
        <v>2</v>
      </c>
      <c r="S10" s="572">
        <v>0</v>
      </c>
      <c r="T10" s="261">
        <f t="shared" si="0"/>
        <v>5</v>
      </c>
      <c r="U10" s="261"/>
      <c r="V10" s="112">
        <f t="shared" si="1"/>
        <v>5</v>
      </c>
      <c r="W10" s="768">
        <v>8</v>
      </c>
      <c r="X10" s="768"/>
      <c r="Y10" s="768"/>
      <c r="Z10" s="768"/>
      <c r="AA10" s="769">
        <f t="shared" ref="AA10:AA27" si="9">SUM(W10:Z10)</f>
        <v>8</v>
      </c>
      <c r="AB10" s="112"/>
      <c r="AC10" s="107">
        <f t="shared" ref="AC10:AC27" si="10">AA10+AB10</f>
        <v>8</v>
      </c>
      <c r="AD10" s="571">
        <f t="shared" si="5"/>
        <v>6333</v>
      </c>
      <c r="AE10" s="572">
        <f t="shared" si="2"/>
        <v>780</v>
      </c>
      <c r="AF10" s="572">
        <f t="shared" si="2"/>
        <v>9139</v>
      </c>
      <c r="AG10" s="572">
        <f t="shared" si="2"/>
        <v>683</v>
      </c>
      <c r="AH10" s="258">
        <f t="shared" ref="AH10:AH27" si="11">SUM(AD10:AG10)</f>
        <v>16935</v>
      </c>
      <c r="AI10" s="573">
        <f t="shared" si="6"/>
        <v>0</v>
      </c>
      <c r="AJ10" s="258">
        <f>AH10+AI10</f>
        <v>16935</v>
      </c>
      <c r="AN10" s="401"/>
    </row>
    <row r="11" spans="1:221">
      <c r="A11" s="22" t="s">
        <v>7</v>
      </c>
      <c r="B11" s="571">
        <v>9553</v>
      </c>
      <c r="C11" s="572">
        <v>1824</v>
      </c>
      <c r="D11" s="572">
        <v>17492</v>
      </c>
      <c r="E11" s="572">
        <v>1997</v>
      </c>
      <c r="F11" s="260">
        <f t="shared" si="7"/>
        <v>30866</v>
      </c>
      <c r="G11" s="573">
        <v>3</v>
      </c>
      <c r="H11" s="253">
        <f t="shared" si="8"/>
        <v>30869</v>
      </c>
      <c r="I11" s="572">
        <v>40</v>
      </c>
      <c r="J11" s="572"/>
      <c r="K11" s="572">
        <v>12</v>
      </c>
      <c r="L11" s="572">
        <v>4</v>
      </c>
      <c r="M11" s="258">
        <f t="shared" si="3"/>
        <v>56</v>
      </c>
      <c r="N11" s="253"/>
      <c r="O11" s="258">
        <f t="shared" si="4"/>
        <v>56</v>
      </c>
      <c r="P11" s="571">
        <v>3</v>
      </c>
      <c r="Q11" s="572">
        <v>0</v>
      </c>
      <c r="R11" s="572">
        <v>3</v>
      </c>
      <c r="S11" s="572">
        <v>0</v>
      </c>
      <c r="T11" s="261">
        <f t="shared" si="0"/>
        <v>6</v>
      </c>
      <c r="U11" s="261"/>
      <c r="V11" s="112">
        <f t="shared" si="1"/>
        <v>6</v>
      </c>
      <c r="W11" s="768">
        <v>7</v>
      </c>
      <c r="X11" s="768"/>
      <c r="Y11" s="768"/>
      <c r="Z11" s="768"/>
      <c r="AA11" s="769">
        <f t="shared" si="9"/>
        <v>7</v>
      </c>
      <c r="AB11" s="112"/>
      <c r="AC11" s="107">
        <f t="shared" si="10"/>
        <v>7</v>
      </c>
      <c r="AD11" s="571">
        <f t="shared" si="5"/>
        <v>9603</v>
      </c>
      <c r="AE11" s="572">
        <f t="shared" si="2"/>
        <v>1824</v>
      </c>
      <c r="AF11" s="572">
        <f t="shared" si="2"/>
        <v>17507</v>
      </c>
      <c r="AG11" s="572">
        <f t="shared" si="2"/>
        <v>2001</v>
      </c>
      <c r="AH11" s="258">
        <f t="shared" si="11"/>
        <v>30935</v>
      </c>
      <c r="AI11" s="573">
        <f t="shared" si="6"/>
        <v>3</v>
      </c>
      <c r="AJ11" s="258">
        <f t="shared" ref="AJ11:AJ36" si="12">AH11+AI11</f>
        <v>30938</v>
      </c>
      <c r="AN11" s="401"/>
    </row>
    <row r="12" spans="1:221">
      <c r="A12" s="22" t="s">
        <v>124</v>
      </c>
      <c r="B12" s="571">
        <v>3988</v>
      </c>
      <c r="C12" s="572">
        <v>1384</v>
      </c>
      <c r="D12" s="572">
        <v>10117</v>
      </c>
      <c r="E12" s="572">
        <v>1793</v>
      </c>
      <c r="F12" s="260">
        <f t="shared" si="7"/>
        <v>17282</v>
      </c>
      <c r="G12" s="573">
        <v>6</v>
      </c>
      <c r="H12" s="253">
        <f t="shared" si="8"/>
        <v>17288</v>
      </c>
      <c r="I12" s="572">
        <v>10</v>
      </c>
      <c r="J12" s="572"/>
      <c r="K12" s="572">
        <v>2</v>
      </c>
      <c r="L12" s="572"/>
      <c r="M12" s="258">
        <f t="shared" si="3"/>
        <v>12</v>
      </c>
      <c r="N12" s="253"/>
      <c r="O12" s="258">
        <f t="shared" si="4"/>
        <v>12</v>
      </c>
      <c r="P12" s="571">
        <v>18</v>
      </c>
      <c r="Q12" s="572">
        <v>1</v>
      </c>
      <c r="R12" s="572">
        <v>6</v>
      </c>
      <c r="S12" s="572">
        <v>0</v>
      </c>
      <c r="T12" s="261">
        <f t="shared" si="0"/>
        <v>25</v>
      </c>
      <c r="U12" s="261"/>
      <c r="V12" s="112">
        <f t="shared" si="1"/>
        <v>25</v>
      </c>
      <c r="W12" s="768">
        <v>3</v>
      </c>
      <c r="X12" s="768"/>
      <c r="Y12" s="768"/>
      <c r="Z12" s="768"/>
      <c r="AA12" s="769">
        <f t="shared" si="9"/>
        <v>3</v>
      </c>
      <c r="AB12" s="112"/>
      <c r="AC12" s="107">
        <f t="shared" si="10"/>
        <v>3</v>
      </c>
      <c r="AD12" s="571">
        <f t="shared" si="5"/>
        <v>4019</v>
      </c>
      <c r="AE12" s="572">
        <f t="shared" si="2"/>
        <v>1385</v>
      </c>
      <c r="AF12" s="572">
        <f t="shared" si="2"/>
        <v>10125</v>
      </c>
      <c r="AG12" s="572">
        <f t="shared" si="2"/>
        <v>1793</v>
      </c>
      <c r="AH12" s="258">
        <f t="shared" si="11"/>
        <v>17322</v>
      </c>
      <c r="AI12" s="573">
        <f t="shared" si="6"/>
        <v>6</v>
      </c>
      <c r="AJ12" s="258">
        <f t="shared" si="12"/>
        <v>17328</v>
      </c>
      <c r="AN12" s="401"/>
    </row>
    <row r="13" spans="1:221">
      <c r="A13" s="21" t="s">
        <v>116</v>
      </c>
      <c r="B13" s="571">
        <v>810</v>
      </c>
      <c r="C13" s="572">
        <v>421</v>
      </c>
      <c r="D13" s="572">
        <v>2577</v>
      </c>
      <c r="E13" s="572">
        <v>605</v>
      </c>
      <c r="F13" s="260">
        <f t="shared" si="7"/>
        <v>4413</v>
      </c>
      <c r="G13" s="573">
        <v>0</v>
      </c>
      <c r="H13" s="253">
        <f t="shared" si="8"/>
        <v>4413</v>
      </c>
      <c r="I13" s="572"/>
      <c r="J13" s="572"/>
      <c r="K13" s="572"/>
      <c r="L13" s="572"/>
      <c r="M13" s="258"/>
      <c r="N13" s="253"/>
      <c r="O13" s="258"/>
      <c r="P13" s="571">
        <v>13</v>
      </c>
      <c r="Q13" s="572">
        <v>2</v>
      </c>
      <c r="R13" s="572">
        <v>8</v>
      </c>
      <c r="S13" s="572">
        <v>4</v>
      </c>
      <c r="T13" s="261">
        <f t="shared" si="0"/>
        <v>27</v>
      </c>
      <c r="U13" s="261"/>
      <c r="V13" s="112">
        <f t="shared" si="1"/>
        <v>27</v>
      </c>
      <c r="W13" s="768">
        <v>8</v>
      </c>
      <c r="X13" s="768"/>
      <c r="Y13" s="768"/>
      <c r="Z13" s="768"/>
      <c r="AA13" s="769">
        <f t="shared" si="9"/>
        <v>8</v>
      </c>
      <c r="AB13" s="112"/>
      <c r="AC13" s="107">
        <f t="shared" si="10"/>
        <v>8</v>
      </c>
      <c r="AD13" s="571">
        <f t="shared" si="5"/>
        <v>831</v>
      </c>
      <c r="AE13" s="572">
        <f t="shared" si="2"/>
        <v>423</v>
      </c>
      <c r="AF13" s="572">
        <f t="shared" si="2"/>
        <v>2585</v>
      </c>
      <c r="AG13" s="572">
        <f t="shared" si="2"/>
        <v>609</v>
      </c>
      <c r="AH13" s="258">
        <f t="shared" si="11"/>
        <v>4448</v>
      </c>
      <c r="AI13" s="573">
        <f t="shared" si="6"/>
        <v>0</v>
      </c>
      <c r="AJ13" s="258">
        <f t="shared" si="12"/>
        <v>4448</v>
      </c>
      <c r="AN13" s="401"/>
    </row>
    <row r="14" spans="1:221" s="58" customFormat="1">
      <c r="A14" s="21" t="s">
        <v>8</v>
      </c>
      <c r="B14" s="571">
        <v>542</v>
      </c>
      <c r="C14" s="572">
        <v>399</v>
      </c>
      <c r="D14" s="572">
        <v>2168</v>
      </c>
      <c r="E14" s="572">
        <v>980</v>
      </c>
      <c r="F14" s="260">
        <f t="shared" si="7"/>
        <v>4089</v>
      </c>
      <c r="G14" s="573">
        <v>2</v>
      </c>
      <c r="H14" s="253">
        <f t="shared" si="8"/>
        <v>4091</v>
      </c>
      <c r="I14" s="572"/>
      <c r="J14" s="572"/>
      <c r="K14" s="572"/>
      <c r="L14" s="572"/>
      <c r="M14" s="258"/>
      <c r="N14" s="253"/>
      <c r="O14" s="258"/>
      <c r="P14" s="571">
        <v>22</v>
      </c>
      <c r="Q14" s="572">
        <v>6</v>
      </c>
      <c r="R14" s="572">
        <v>55</v>
      </c>
      <c r="S14" s="572">
        <v>8</v>
      </c>
      <c r="T14" s="261">
        <f t="shared" si="0"/>
        <v>91</v>
      </c>
      <c r="U14" s="261"/>
      <c r="V14" s="112">
        <f t="shared" si="1"/>
        <v>91</v>
      </c>
      <c r="W14" s="768">
        <v>7</v>
      </c>
      <c r="X14" s="768"/>
      <c r="Y14" s="768"/>
      <c r="Z14" s="768"/>
      <c r="AA14" s="769">
        <f t="shared" si="9"/>
        <v>7</v>
      </c>
      <c r="AB14" s="112"/>
      <c r="AC14" s="107">
        <f t="shared" si="10"/>
        <v>7</v>
      </c>
      <c r="AD14" s="571">
        <f t="shared" si="5"/>
        <v>571</v>
      </c>
      <c r="AE14" s="572">
        <f t="shared" si="2"/>
        <v>405</v>
      </c>
      <c r="AF14" s="572">
        <f t="shared" si="2"/>
        <v>2223</v>
      </c>
      <c r="AG14" s="572">
        <f t="shared" si="2"/>
        <v>988</v>
      </c>
      <c r="AH14" s="258">
        <f t="shared" si="11"/>
        <v>4187</v>
      </c>
      <c r="AI14" s="573">
        <f t="shared" si="6"/>
        <v>2</v>
      </c>
      <c r="AJ14" s="258">
        <f t="shared" si="12"/>
        <v>4189</v>
      </c>
      <c r="AN14" s="401"/>
    </row>
    <row r="15" spans="1:221">
      <c r="A15" s="21" t="s">
        <v>9</v>
      </c>
      <c r="B15" s="571">
        <v>28</v>
      </c>
      <c r="C15" s="572">
        <v>41</v>
      </c>
      <c r="D15" s="572">
        <v>187</v>
      </c>
      <c r="E15" s="572">
        <v>191</v>
      </c>
      <c r="F15" s="260">
        <f t="shared" si="7"/>
        <v>447</v>
      </c>
      <c r="G15" s="573">
        <v>1</v>
      </c>
      <c r="H15" s="253">
        <f t="shared" si="8"/>
        <v>448</v>
      </c>
      <c r="I15" s="572"/>
      <c r="J15" s="572"/>
      <c r="K15" s="572"/>
      <c r="L15" s="572"/>
      <c r="M15" s="258"/>
      <c r="N15" s="253"/>
      <c r="O15" s="258"/>
      <c r="P15" s="571"/>
      <c r="Q15" s="572"/>
      <c r="R15" s="572">
        <v>1</v>
      </c>
      <c r="S15" s="572"/>
      <c r="T15" s="261">
        <f t="shared" si="0"/>
        <v>1</v>
      </c>
      <c r="U15" s="261"/>
      <c r="V15" s="112">
        <f t="shared" si="1"/>
        <v>1</v>
      </c>
      <c r="W15" s="768">
        <v>0</v>
      </c>
      <c r="X15" s="768"/>
      <c r="Y15" s="768"/>
      <c r="Z15" s="768"/>
      <c r="AA15" s="769">
        <f t="shared" si="9"/>
        <v>0</v>
      </c>
      <c r="AB15" s="259"/>
      <c r="AC15" s="107">
        <f t="shared" si="10"/>
        <v>0</v>
      </c>
      <c r="AD15" s="571">
        <f t="shared" si="5"/>
        <v>28</v>
      </c>
      <c r="AE15" s="572">
        <f t="shared" si="2"/>
        <v>41</v>
      </c>
      <c r="AF15" s="572">
        <f t="shared" si="2"/>
        <v>188</v>
      </c>
      <c r="AG15" s="572">
        <f t="shared" si="2"/>
        <v>191</v>
      </c>
      <c r="AH15" s="258">
        <f t="shared" si="11"/>
        <v>448</v>
      </c>
      <c r="AI15" s="573">
        <f t="shared" si="6"/>
        <v>1</v>
      </c>
      <c r="AJ15" s="258">
        <f t="shared" si="12"/>
        <v>449</v>
      </c>
      <c r="AK15" s="58"/>
      <c r="AL15" s="58"/>
      <c r="AM15" s="58"/>
      <c r="AN15" s="401"/>
      <c r="AO15" s="58"/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8"/>
      <c r="BH15" s="58"/>
      <c r="BI15" s="58"/>
      <c r="BJ15" s="58"/>
      <c r="BK15" s="58"/>
      <c r="BL15" s="58"/>
      <c r="BM15" s="58"/>
      <c r="BN15" s="58"/>
      <c r="BO15" s="58"/>
      <c r="BP15" s="58"/>
      <c r="BQ15" s="58"/>
      <c r="BR15" s="58"/>
      <c r="BS15" s="58"/>
      <c r="BT15" s="58"/>
      <c r="BU15" s="58"/>
      <c r="BV15" s="58"/>
      <c r="BW15" s="58"/>
      <c r="BX15" s="58"/>
      <c r="BY15" s="58"/>
      <c r="BZ15" s="58"/>
      <c r="CA15" s="58"/>
      <c r="CB15" s="58"/>
      <c r="CC15" s="58"/>
      <c r="CD15" s="58"/>
      <c r="CE15" s="58"/>
      <c r="CF15" s="58"/>
      <c r="CG15" s="58"/>
      <c r="CH15" s="58"/>
      <c r="CI15" s="58"/>
      <c r="CJ15" s="58"/>
      <c r="CK15" s="58"/>
      <c r="CL15" s="58"/>
      <c r="CM15" s="58"/>
      <c r="CN15" s="58"/>
      <c r="CO15" s="58"/>
      <c r="CP15" s="58"/>
      <c r="CQ15" s="58"/>
      <c r="CR15" s="58"/>
      <c r="CS15" s="58"/>
      <c r="CT15" s="58"/>
      <c r="CU15" s="58"/>
      <c r="CV15" s="58"/>
      <c r="CW15" s="58"/>
      <c r="CX15" s="58"/>
      <c r="CY15" s="58"/>
      <c r="CZ15" s="58"/>
      <c r="DA15" s="58"/>
      <c r="DB15" s="58"/>
      <c r="DC15" s="58"/>
      <c r="DD15" s="58"/>
      <c r="DE15" s="58"/>
      <c r="DF15" s="58"/>
      <c r="DG15" s="58"/>
      <c r="DH15" s="58"/>
      <c r="DI15" s="58"/>
      <c r="DJ15" s="58"/>
      <c r="DK15" s="58"/>
      <c r="DL15" s="58"/>
      <c r="DM15" s="58"/>
      <c r="DN15" s="58"/>
      <c r="DO15" s="58"/>
      <c r="DP15" s="58"/>
      <c r="DQ15" s="58"/>
      <c r="DR15" s="58"/>
      <c r="DS15" s="58"/>
      <c r="DT15" s="58"/>
      <c r="DU15" s="58"/>
      <c r="DV15" s="58"/>
      <c r="DW15" s="58"/>
      <c r="DX15" s="58"/>
      <c r="DY15" s="58"/>
      <c r="DZ15" s="58"/>
      <c r="EA15" s="58"/>
      <c r="EB15" s="58"/>
      <c r="EC15" s="58"/>
      <c r="ED15" s="58"/>
      <c r="EE15" s="58"/>
      <c r="EF15" s="58"/>
      <c r="EG15" s="58"/>
      <c r="EH15" s="58"/>
      <c r="EI15" s="58"/>
      <c r="EJ15" s="58"/>
      <c r="EK15" s="58"/>
      <c r="EL15" s="58"/>
      <c r="EM15" s="58"/>
      <c r="EN15" s="58"/>
      <c r="EO15" s="58"/>
      <c r="EP15" s="58"/>
      <c r="EQ15" s="58"/>
      <c r="ER15" s="58"/>
      <c r="ES15" s="58"/>
      <c r="ET15" s="58"/>
      <c r="EU15" s="58"/>
      <c r="EV15" s="58"/>
      <c r="EW15" s="58"/>
      <c r="EX15" s="58"/>
      <c r="EY15" s="58"/>
      <c r="EZ15" s="58"/>
      <c r="FA15" s="58"/>
      <c r="FB15" s="58"/>
      <c r="FC15" s="58"/>
      <c r="FD15" s="58"/>
      <c r="FE15" s="58"/>
      <c r="FF15" s="58"/>
      <c r="FG15" s="58"/>
      <c r="FH15" s="58"/>
      <c r="FI15" s="58"/>
      <c r="FJ15" s="58"/>
      <c r="FK15" s="58"/>
      <c r="FL15" s="58"/>
      <c r="FM15" s="58"/>
      <c r="FN15" s="58"/>
      <c r="FO15" s="58"/>
      <c r="FP15" s="58"/>
      <c r="FQ15" s="58"/>
      <c r="FR15" s="58"/>
      <c r="FS15" s="58"/>
      <c r="FT15" s="58"/>
      <c r="FU15" s="58"/>
      <c r="FV15" s="58"/>
      <c r="FW15" s="58"/>
      <c r="FX15" s="58"/>
      <c r="FY15" s="58"/>
      <c r="FZ15" s="58"/>
      <c r="GA15" s="58"/>
      <c r="GB15" s="58"/>
      <c r="GC15" s="58"/>
      <c r="GD15" s="58"/>
      <c r="GE15" s="58"/>
      <c r="GF15" s="58"/>
      <c r="GG15" s="58"/>
      <c r="GH15" s="58"/>
      <c r="GI15" s="58"/>
      <c r="GJ15" s="58"/>
      <c r="GK15" s="58"/>
      <c r="GL15" s="58"/>
      <c r="GM15" s="58"/>
      <c r="GN15" s="58"/>
      <c r="GO15" s="58"/>
      <c r="GP15" s="58"/>
      <c r="GQ15" s="58"/>
      <c r="GR15" s="58"/>
      <c r="GS15" s="58"/>
      <c r="GT15" s="58"/>
      <c r="GU15" s="58"/>
      <c r="GV15" s="58"/>
      <c r="GW15" s="58"/>
      <c r="GX15" s="58"/>
      <c r="GY15" s="58"/>
      <c r="GZ15" s="58"/>
      <c r="HA15" s="58"/>
      <c r="HB15" s="58"/>
      <c r="HC15" s="58"/>
      <c r="HD15" s="58"/>
      <c r="HE15" s="58"/>
      <c r="HF15" s="58"/>
      <c r="HG15" s="58"/>
      <c r="HH15" s="58"/>
      <c r="HI15" s="58"/>
      <c r="HJ15" s="58"/>
      <c r="HK15" s="58"/>
      <c r="HL15" s="58"/>
      <c r="HM15" s="58"/>
    </row>
    <row r="16" spans="1:221">
      <c r="A16" s="21" t="s">
        <v>10</v>
      </c>
      <c r="B16" s="571">
        <v>1</v>
      </c>
      <c r="C16" s="572">
        <v>7</v>
      </c>
      <c r="D16" s="572">
        <v>48</v>
      </c>
      <c r="E16" s="572">
        <v>83</v>
      </c>
      <c r="F16" s="260">
        <f t="shared" si="7"/>
        <v>139</v>
      </c>
      <c r="G16" s="573">
        <v>0</v>
      </c>
      <c r="H16" s="253">
        <f t="shared" si="8"/>
        <v>139</v>
      </c>
      <c r="I16" s="572"/>
      <c r="J16" s="572"/>
      <c r="K16" s="572"/>
      <c r="L16" s="572"/>
      <c r="M16" s="258"/>
      <c r="N16" s="253"/>
      <c r="O16" s="258"/>
      <c r="P16" s="571"/>
      <c r="Q16" s="572"/>
      <c r="R16" s="572"/>
      <c r="S16" s="572"/>
      <c r="T16" s="261"/>
      <c r="U16" s="261"/>
      <c r="V16" s="259"/>
      <c r="W16" s="768">
        <v>2</v>
      </c>
      <c r="X16" s="768"/>
      <c r="Y16" s="768"/>
      <c r="Z16" s="768"/>
      <c r="AA16" s="769">
        <f t="shared" si="9"/>
        <v>2</v>
      </c>
      <c r="AB16" s="259"/>
      <c r="AC16" s="107">
        <f t="shared" si="10"/>
        <v>2</v>
      </c>
      <c r="AD16" s="571">
        <f t="shared" si="5"/>
        <v>3</v>
      </c>
      <c r="AE16" s="572">
        <f t="shared" si="2"/>
        <v>7</v>
      </c>
      <c r="AF16" s="572">
        <f t="shared" si="2"/>
        <v>48</v>
      </c>
      <c r="AG16" s="572">
        <f t="shared" si="2"/>
        <v>83</v>
      </c>
      <c r="AH16" s="258">
        <f t="shared" si="11"/>
        <v>141</v>
      </c>
      <c r="AI16" s="573">
        <f t="shared" si="6"/>
        <v>0</v>
      </c>
      <c r="AJ16" s="258">
        <f t="shared" si="12"/>
        <v>141</v>
      </c>
      <c r="AK16" s="58"/>
      <c r="AL16" s="58"/>
      <c r="AM16" s="58"/>
      <c r="AN16" s="401"/>
      <c r="AO16" s="58"/>
      <c r="AP16" s="58"/>
      <c r="AQ16" s="58"/>
      <c r="AR16" s="58"/>
      <c r="AS16" s="58"/>
      <c r="AT16" s="58"/>
      <c r="AU16" s="58"/>
      <c r="AV16" s="58"/>
      <c r="AW16" s="58"/>
      <c r="AX16" s="58"/>
      <c r="AY16" s="58"/>
      <c r="AZ16" s="58"/>
      <c r="BA16" s="58"/>
      <c r="BB16" s="58"/>
      <c r="BC16" s="58"/>
      <c r="BD16" s="58"/>
      <c r="BE16" s="58"/>
      <c r="BF16" s="58"/>
      <c r="BG16" s="58"/>
      <c r="BH16" s="58"/>
      <c r="BI16" s="58"/>
      <c r="BJ16" s="58"/>
      <c r="BK16" s="58"/>
      <c r="BL16" s="58"/>
      <c r="BM16" s="58"/>
      <c r="BN16" s="58"/>
      <c r="BO16" s="58"/>
      <c r="BP16" s="58"/>
      <c r="BQ16" s="58"/>
      <c r="BR16" s="58"/>
      <c r="BS16" s="58"/>
      <c r="BT16" s="58"/>
      <c r="BU16" s="58"/>
      <c r="BV16" s="58"/>
      <c r="BW16" s="58"/>
      <c r="BX16" s="58"/>
      <c r="BY16" s="58"/>
      <c r="BZ16" s="58"/>
      <c r="CA16" s="58"/>
      <c r="CB16" s="58"/>
      <c r="CC16" s="58"/>
      <c r="CD16" s="58"/>
      <c r="CE16" s="58"/>
      <c r="CF16" s="58"/>
      <c r="CG16" s="58"/>
      <c r="CH16" s="58"/>
      <c r="CI16" s="58"/>
      <c r="CJ16" s="58"/>
      <c r="CK16" s="58"/>
      <c r="CL16" s="58"/>
      <c r="CM16" s="58"/>
      <c r="CN16" s="58"/>
      <c r="CO16" s="58"/>
      <c r="CP16" s="58"/>
      <c r="CQ16" s="58"/>
      <c r="CR16" s="58"/>
      <c r="CS16" s="58"/>
      <c r="CT16" s="58"/>
      <c r="CU16" s="58"/>
      <c r="CV16" s="58"/>
      <c r="CW16" s="58"/>
      <c r="CX16" s="58"/>
      <c r="CY16" s="58"/>
      <c r="CZ16" s="58"/>
      <c r="DA16" s="58"/>
      <c r="DB16" s="58"/>
      <c r="DC16" s="58"/>
      <c r="DD16" s="58"/>
      <c r="DE16" s="58"/>
      <c r="DF16" s="58"/>
      <c r="DG16" s="58"/>
      <c r="DH16" s="58"/>
      <c r="DI16" s="58"/>
      <c r="DJ16" s="58"/>
      <c r="DK16" s="58"/>
      <c r="DL16" s="58"/>
      <c r="DM16" s="58"/>
      <c r="DN16" s="58"/>
      <c r="DO16" s="58"/>
      <c r="DP16" s="58"/>
      <c r="DQ16" s="58"/>
      <c r="DR16" s="58"/>
      <c r="DS16" s="58"/>
      <c r="DT16" s="58"/>
      <c r="DU16" s="58"/>
      <c r="DV16" s="58"/>
      <c r="DW16" s="58"/>
      <c r="DX16" s="58"/>
      <c r="DY16" s="58"/>
      <c r="DZ16" s="58"/>
      <c r="EA16" s="58"/>
      <c r="EB16" s="58"/>
      <c r="EC16" s="58"/>
      <c r="ED16" s="58"/>
      <c r="EE16" s="58"/>
      <c r="EF16" s="58"/>
      <c r="EG16" s="58"/>
      <c r="EH16" s="58"/>
      <c r="EI16" s="58"/>
      <c r="EJ16" s="58"/>
      <c r="EK16" s="58"/>
      <c r="EL16" s="58"/>
      <c r="EM16" s="58"/>
      <c r="EN16" s="58"/>
      <c r="EO16" s="58"/>
      <c r="EP16" s="58"/>
      <c r="EQ16" s="58"/>
      <c r="ER16" s="58"/>
      <c r="ES16" s="58"/>
      <c r="ET16" s="58"/>
      <c r="EU16" s="58"/>
      <c r="EV16" s="58"/>
      <c r="EW16" s="58"/>
      <c r="EX16" s="58"/>
      <c r="EY16" s="58"/>
      <c r="EZ16" s="58"/>
      <c r="FA16" s="58"/>
      <c r="FB16" s="58"/>
      <c r="FC16" s="58"/>
      <c r="FD16" s="58"/>
      <c r="FE16" s="58"/>
      <c r="FF16" s="58"/>
      <c r="FG16" s="58"/>
      <c r="FH16" s="58"/>
      <c r="FI16" s="58"/>
      <c r="FJ16" s="58"/>
      <c r="FK16" s="58"/>
      <c r="FL16" s="58"/>
      <c r="FM16" s="58"/>
      <c r="FN16" s="58"/>
      <c r="FO16" s="58"/>
      <c r="FP16" s="58"/>
      <c r="FQ16" s="58"/>
      <c r="FR16" s="58"/>
      <c r="FS16" s="58"/>
      <c r="FT16" s="58"/>
      <c r="FU16" s="58"/>
      <c r="FV16" s="58"/>
      <c r="FW16" s="58"/>
      <c r="FX16" s="58"/>
      <c r="FY16" s="58"/>
      <c r="FZ16" s="58"/>
      <c r="GA16" s="58"/>
      <c r="GB16" s="58"/>
      <c r="GC16" s="58"/>
      <c r="GD16" s="58"/>
      <c r="GE16" s="58"/>
      <c r="GF16" s="58"/>
      <c r="GG16" s="58"/>
      <c r="GH16" s="58"/>
      <c r="GI16" s="58"/>
      <c r="GJ16" s="58"/>
      <c r="GK16" s="58"/>
      <c r="GL16" s="58"/>
      <c r="GM16" s="58"/>
      <c r="GN16" s="58"/>
      <c r="GO16" s="58"/>
      <c r="GP16" s="58"/>
      <c r="GQ16" s="58"/>
      <c r="GR16" s="58"/>
      <c r="GS16" s="58"/>
      <c r="GT16" s="58"/>
      <c r="GU16" s="58"/>
      <c r="GV16" s="58"/>
      <c r="GW16" s="58"/>
      <c r="GX16" s="58"/>
      <c r="GY16" s="58"/>
      <c r="GZ16" s="58"/>
      <c r="HA16" s="58"/>
      <c r="HB16" s="58"/>
      <c r="HC16" s="58"/>
      <c r="HD16" s="58"/>
      <c r="HE16" s="58"/>
      <c r="HF16" s="58"/>
      <c r="HG16" s="58"/>
      <c r="HH16" s="58"/>
      <c r="HI16" s="58"/>
      <c r="HJ16" s="58"/>
      <c r="HK16" s="58"/>
      <c r="HL16" s="58"/>
      <c r="HM16" s="58"/>
    </row>
    <row r="17" spans="1:221">
      <c r="A17" s="21" t="s">
        <v>11</v>
      </c>
      <c r="B17" s="571">
        <v>1</v>
      </c>
      <c r="C17" s="572">
        <v>2</v>
      </c>
      <c r="D17" s="572">
        <v>23</v>
      </c>
      <c r="E17" s="572">
        <v>66</v>
      </c>
      <c r="F17" s="260">
        <f t="shared" si="7"/>
        <v>92</v>
      </c>
      <c r="G17" s="573">
        <v>0</v>
      </c>
      <c r="H17" s="253">
        <f t="shared" si="8"/>
        <v>92</v>
      </c>
      <c r="I17" s="572"/>
      <c r="J17" s="572"/>
      <c r="K17" s="572"/>
      <c r="L17" s="572"/>
      <c r="M17" s="258"/>
      <c r="N17" s="253"/>
      <c r="O17" s="258"/>
      <c r="P17" s="571"/>
      <c r="Q17" s="572"/>
      <c r="R17" s="572"/>
      <c r="S17" s="572"/>
      <c r="T17" s="261"/>
      <c r="U17" s="261"/>
      <c r="V17" s="259"/>
      <c r="W17" s="768">
        <v>0</v>
      </c>
      <c r="X17" s="768"/>
      <c r="Y17" s="768"/>
      <c r="Z17" s="768"/>
      <c r="AA17" s="769">
        <f t="shared" si="9"/>
        <v>0</v>
      </c>
      <c r="AB17" s="259"/>
      <c r="AC17" s="107">
        <f t="shared" si="10"/>
        <v>0</v>
      </c>
      <c r="AD17" s="571">
        <f t="shared" si="5"/>
        <v>1</v>
      </c>
      <c r="AE17" s="572">
        <f t="shared" si="2"/>
        <v>2</v>
      </c>
      <c r="AF17" s="572">
        <f t="shared" si="2"/>
        <v>23</v>
      </c>
      <c r="AG17" s="572">
        <f t="shared" si="2"/>
        <v>66</v>
      </c>
      <c r="AH17" s="258">
        <f t="shared" si="11"/>
        <v>92</v>
      </c>
      <c r="AI17" s="573">
        <f t="shared" si="6"/>
        <v>0</v>
      </c>
      <c r="AJ17" s="258">
        <f t="shared" si="12"/>
        <v>92</v>
      </c>
      <c r="AK17" s="58"/>
      <c r="AL17" s="58"/>
      <c r="AM17" s="58"/>
      <c r="AN17" s="401"/>
      <c r="AO17" s="58"/>
      <c r="AP17" s="58"/>
      <c r="AQ17" s="58"/>
      <c r="AR17" s="58"/>
      <c r="AS17" s="58"/>
      <c r="AT17" s="58"/>
      <c r="AU17" s="58"/>
      <c r="AV17" s="58"/>
      <c r="AW17" s="58"/>
      <c r="AX17" s="58"/>
      <c r="AY17" s="58"/>
      <c r="AZ17" s="58"/>
      <c r="BA17" s="58"/>
      <c r="BB17" s="58"/>
      <c r="BC17" s="58"/>
      <c r="BD17" s="58"/>
      <c r="BE17" s="58"/>
      <c r="BF17" s="58"/>
      <c r="BG17" s="58"/>
      <c r="BH17" s="58"/>
      <c r="BI17" s="58"/>
      <c r="BJ17" s="58"/>
      <c r="BK17" s="58"/>
      <c r="BL17" s="58"/>
      <c r="BM17" s="58"/>
      <c r="BN17" s="58"/>
      <c r="BO17" s="58"/>
      <c r="BP17" s="58"/>
      <c r="BQ17" s="58"/>
      <c r="BR17" s="58"/>
      <c r="BS17" s="58"/>
      <c r="BT17" s="58"/>
      <c r="BU17" s="58"/>
      <c r="BV17" s="58"/>
      <c r="BW17" s="58"/>
      <c r="BX17" s="58"/>
      <c r="BY17" s="58"/>
      <c r="BZ17" s="58"/>
      <c r="CA17" s="58"/>
      <c r="CB17" s="58"/>
      <c r="CC17" s="58"/>
      <c r="CD17" s="58"/>
      <c r="CE17" s="58"/>
      <c r="CF17" s="58"/>
      <c r="CG17" s="58"/>
      <c r="CH17" s="58"/>
      <c r="CI17" s="58"/>
      <c r="CJ17" s="58"/>
      <c r="CK17" s="58"/>
      <c r="CL17" s="58"/>
      <c r="CM17" s="58"/>
      <c r="CN17" s="58"/>
      <c r="CO17" s="58"/>
      <c r="CP17" s="58"/>
      <c r="CQ17" s="58"/>
      <c r="CR17" s="58"/>
      <c r="CS17" s="58"/>
      <c r="CT17" s="58"/>
      <c r="CU17" s="58"/>
      <c r="CV17" s="58"/>
      <c r="CW17" s="58"/>
      <c r="CX17" s="58"/>
      <c r="CY17" s="58"/>
      <c r="CZ17" s="58"/>
      <c r="DA17" s="58"/>
      <c r="DB17" s="58"/>
      <c r="DC17" s="58"/>
      <c r="DD17" s="58"/>
      <c r="DE17" s="58"/>
      <c r="DF17" s="58"/>
      <c r="DG17" s="58"/>
      <c r="DH17" s="58"/>
      <c r="DI17" s="58"/>
      <c r="DJ17" s="58"/>
      <c r="DK17" s="58"/>
      <c r="DL17" s="58"/>
      <c r="DM17" s="58"/>
      <c r="DN17" s="58"/>
      <c r="DO17" s="58"/>
      <c r="DP17" s="58"/>
      <c r="DQ17" s="58"/>
      <c r="DR17" s="58"/>
      <c r="DS17" s="58"/>
      <c r="DT17" s="58"/>
      <c r="DU17" s="58"/>
      <c r="DV17" s="58"/>
      <c r="DW17" s="58"/>
      <c r="DX17" s="58"/>
      <c r="DY17" s="58"/>
      <c r="DZ17" s="58"/>
      <c r="EA17" s="58"/>
      <c r="EB17" s="58"/>
      <c r="EC17" s="58"/>
      <c r="ED17" s="58"/>
      <c r="EE17" s="58"/>
      <c r="EF17" s="58"/>
      <c r="EG17" s="58"/>
      <c r="EH17" s="58"/>
      <c r="EI17" s="58"/>
      <c r="EJ17" s="58"/>
      <c r="EK17" s="58"/>
      <c r="EL17" s="58"/>
      <c r="EM17" s="58"/>
      <c r="EN17" s="58"/>
      <c r="EO17" s="58"/>
      <c r="EP17" s="58"/>
      <c r="EQ17" s="58"/>
      <c r="ER17" s="58"/>
      <c r="ES17" s="58"/>
      <c r="ET17" s="58"/>
      <c r="EU17" s="58"/>
      <c r="EV17" s="58"/>
      <c r="EW17" s="58"/>
      <c r="EX17" s="58"/>
      <c r="EY17" s="58"/>
      <c r="EZ17" s="58"/>
      <c r="FA17" s="58"/>
      <c r="FB17" s="58"/>
      <c r="FC17" s="58"/>
      <c r="FD17" s="58"/>
      <c r="FE17" s="58"/>
      <c r="FF17" s="58"/>
      <c r="FG17" s="58"/>
      <c r="FH17" s="58"/>
      <c r="FI17" s="58"/>
      <c r="FJ17" s="58"/>
      <c r="FK17" s="58"/>
      <c r="FL17" s="58"/>
      <c r="FM17" s="58"/>
      <c r="FN17" s="58"/>
      <c r="FO17" s="58"/>
      <c r="FP17" s="58"/>
      <c r="FQ17" s="58"/>
      <c r="FR17" s="58"/>
      <c r="FS17" s="58"/>
      <c r="FT17" s="58"/>
      <c r="FU17" s="58"/>
      <c r="FV17" s="58"/>
      <c r="FW17" s="58"/>
      <c r="FX17" s="58"/>
      <c r="FY17" s="58"/>
      <c r="FZ17" s="58"/>
      <c r="GA17" s="58"/>
      <c r="GB17" s="58"/>
      <c r="GC17" s="58"/>
      <c r="GD17" s="58"/>
      <c r="GE17" s="58"/>
      <c r="GF17" s="58"/>
      <c r="GG17" s="58"/>
      <c r="GH17" s="58"/>
      <c r="GI17" s="58"/>
      <c r="GJ17" s="58"/>
      <c r="GK17" s="58"/>
      <c r="GL17" s="58"/>
      <c r="GM17" s="58"/>
      <c r="GN17" s="58"/>
      <c r="GO17" s="58"/>
      <c r="GP17" s="58"/>
      <c r="GQ17" s="58"/>
      <c r="GR17" s="58"/>
      <c r="GS17" s="58"/>
      <c r="GT17" s="58"/>
      <c r="GU17" s="58"/>
      <c r="GV17" s="58"/>
      <c r="GW17" s="58"/>
      <c r="GX17" s="58"/>
      <c r="GY17" s="58"/>
      <c r="GZ17" s="58"/>
      <c r="HA17" s="58"/>
      <c r="HB17" s="58"/>
      <c r="HC17" s="58"/>
      <c r="HD17" s="58"/>
      <c r="HE17" s="58"/>
      <c r="HF17" s="58"/>
      <c r="HG17" s="58"/>
      <c r="HH17" s="58"/>
      <c r="HI17" s="58"/>
      <c r="HJ17" s="58"/>
      <c r="HK17" s="58"/>
      <c r="HL17" s="58"/>
      <c r="HM17" s="58"/>
    </row>
    <row r="18" spans="1:221">
      <c r="A18" s="21" t="s">
        <v>120</v>
      </c>
      <c r="B18" s="571"/>
      <c r="C18" s="572"/>
      <c r="D18" s="572">
        <v>4</v>
      </c>
      <c r="E18" s="572">
        <v>22</v>
      </c>
      <c r="F18" s="260">
        <f t="shared" si="7"/>
        <v>26</v>
      </c>
      <c r="G18" s="573">
        <v>0</v>
      </c>
      <c r="H18" s="253">
        <f t="shared" si="8"/>
        <v>26</v>
      </c>
      <c r="I18" s="572"/>
      <c r="J18" s="572"/>
      <c r="K18" s="572"/>
      <c r="L18" s="572"/>
      <c r="M18" s="258"/>
      <c r="N18" s="253"/>
      <c r="O18" s="258"/>
      <c r="P18" s="152"/>
      <c r="Q18" s="241"/>
      <c r="R18" s="241"/>
      <c r="S18" s="241"/>
      <c r="T18" s="261"/>
      <c r="U18" s="261"/>
      <c r="V18" s="259"/>
      <c r="W18" s="768">
        <v>0</v>
      </c>
      <c r="X18" s="768"/>
      <c r="Y18" s="768"/>
      <c r="Z18" s="768"/>
      <c r="AA18" s="769">
        <f t="shared" si="9"/>
        <v>0</v>
      </c>
      <c r="AB18" s="259"/>
      <c r="AC18" s="107">
        <f t="shared" si="10"/>
        <v>0</v>
      </c>
      <c r="AD18" s="571">
        <f t="shared" si="5"/>
        <v>0</v>
      </c>
      <c r="AE18" s="572"/>
      <c r="AF18" s="572">
        <f t="shared" si="2"/>
        <v>4</v>
      </c>
      <c r="AG18" s="572">
        <f t="shared" si="2"/>
        <v>22</v>
      </c>
      <c r="AH18" s="258">
        <f t="shared" si="11"/>
        <v>26</v>
      </c>
      <c r="AI18" s="573">
        <f t="shared" si="6"/>
        <v>0</v>
      </c>
      <c r="AJ18" s="258">
        <f t="shared" si="12"/>
        <v>26</v>
      </c>
      <c r="AK18" s="58"/>
      <c r="AL18" s="58"/>
      <c r="AM18" s="58"/>
      <c r="AN18" s="401"/>
      <c r="AO18" s="58"/>
      <c r="AP18" s="58"/>
      <c r="AQ18" s="58"/>
      <c r="AR18" s="58"/>
      <c r="AS18" s="58"/>
      <c r="AT18" s="58"/>
      <c r="AU18" s="58"/>
      <c r="AV18" s="58"/>
      <c r="AW18" s="58"/>
      <c r="AX18" s="58"/>
      <c r="AY18" s="58"/>
      <c r="AZ18" s="58"/>
      <c r="BA18" s="58"/>
      <c r="BB18" s="58"/>
      <c r="BC18" s="58"/>
      <c r="BD18" s="58"/>
      <c r="BE18" s="58"/>
      <c r="BF18" s="58"/>
      <c r="BG18" s="58"/>
      <c r="BH18" s="58"/>
      <c r="BI18" s="58"/>
      <c r="BJ18" s="58"/>
      <c r="BK18" s="58"/>
      <c r="BL18" s="58"/>
      <c r="BM18" s="58"/>
      <c r="BN18" s="58"/>
      <c r="BO18" s="58"/>
      <c r="BP18" s="58"/>
      <c r="BQ18" s="58"/>
      <c r="BR18" s="58"/>
      <c r="BS18" s="58"/>
      <c r="BT18" s="58"/>
      <c r="BU18" s="58"/>
      <c r="BV18" s="58"/>
      <c r="BW18" s="58"/>
      <c r="BX18" s="58"/>
      <c r="BY18" s="58"/>
      <c r="BZ18" s="58"/>
      <c r="CA18" s="58"/>
      <c r="CB18" s="58"/>
      <c r="CC18" s="58"/>
      <c r="CD18" s="58"/>
      <c r="CE18" s="58"/>
      <c r="CF18" s="58"/>
      <c r="CG18" s="58"/>
      <c r="CH18" s="58"/>
      <c r="CI18" s="58"/>
      <c r="CJ18" s="58"/>
      <c r="CK18" s="58"/>
      <c r="CL18" s="58"/>
      <c r="CM18" s="58"/>
      <c r="CN18" s="58"/>
      <c r="CO18" s="58"/>
      <c r="CP18" s="58"/>
      <c r="CQ18" s="58"/>
      <c r="CR18" s="58"/>
      <c r="CS18" s="58"/>
      <c r="CT18" s="58"/>
      <c r="CU18" s="58"/>
      <c r="CV18" s="58"/>
      <c r="CW18" s="58"/>
      <c r="CX18" s="58"/>
      <c r="CY18" s="58"/>
      <c r="CZ18" s="58"/>
      <c r="DA18" s="58"/>
      <c r="DB18" s="58"/>
      <c r="DC18" s="58"/>
      <c r="DD18" s="58"/>
      <c r="DE18" s="58"/>
      <c r="DF18" s="58"/>
      <c r="DG18" s="58"/>
      <c r="DH18" s="58"/>
      <c r="DI18" s="58"/>
      <c r="DJ18" s="58"/>
      <c r="DK18" s="58"/>
      <c r="DL18" s="58"/>
      <c r="DM18" s="58"/>
      <c r="DN18" s="58"/>
      <c r="DO18" s="58"/>
      <c r="DP18" s="58"/>
      <c r="DQ18" s="58"/>
      <c r="DR18" s="58"/>
      <c r="DS18" s="58"/>
      <c r="DT18" s="58"/>
      <c r="DU18" s="58"/>
      <c r="DV18" s="58"/>
      <c r="DW18" s="58"/>
      <c r="DX18" s="58"/>
      <c r="DY18" s="58"/>
      <c r="DZ18" s="58"/>
      <c r="EA18" s="58"/>
      <c r="EB18" s="58"/>
      <c r="EC18" s="58"/>
      <c r="ED18" s="58"/>
      <c r="EE18" s="58"/>
      <c r="EF18" s="58"/>
      <c r="EG18" s="58"/>
      <c r="EH18" s="58"/>
      <c r="EI18" s="58"/>
      <c r="EJ18" s="58"/>
      <c r="EK18" s="58"/>
      <c r="EL18" s="58"/>
      <c r="EM18" s="58"/>
      <c r="EN18" s="58"/>
      <c r="EO18" s="58"/>
      <c r="EP18" s="58"/>
      <c r="EQ18" s="58"/>
      <c r="ER18" s="58"/>
      <c r="ES18" s="58"/>
      <c r="ET18" s="58"/>
      <c r="EU18" s="58"/>
      <c r="EV18" s="58"/>
      <c r="EW18" s="58"/>
      <c r="EX18" s="58"/>
      <c r="EY18" s="58"/>
      <c r="EZ18" s="58"/>
      <c r="FA18" s="58"/>
      <c r="FB18" s="58"/>
      <c r="FC18" s="58"/>
      <c r="FD18" s="58"/>
      <c r="FE18" s="58"/>
      <c r="FF18" s="58"/>
      <c r="FG18" s="58"/>
      <c r="FH18" s="58"/>
      <c r="FI18" s="58"/>
      <c r="FJ18" s="58"/>
      <c r="FK18" s="58"/>
      <c r="FL18" s="58"/>
      <c r="FM18" s="58"/>
      <c r="FN18" s="58"/>
      <c r="FO18" s="58"/>
      <c r="FP18" s="58"/>
      <c r="FQ18" s="58"/>
      <c r="FR18" s="58"/>
      <c r="FS18" s="58"/>
      <c r="FT18" s="58"/>
      <c r="FU18" s="58"/>
      <c r="FV18" s="58"/>
      <c r="FW18" s="58"/>
      <c r="FX18" s="58"/>
      <c r="FY18" s="58"/>
      <c r="FZ18" s="58"/>
      <c r="GA18" s="58"/>
      <c r="GB18" s="58"/>
      <c r="GC18" s="58"/>
      <c r="GD18" s="58"/>
      <c r="GE18" s="58"/>
      <c r="GF18" s="58"/>
      <c r="GG18" s="58"/>
      <c r="GH18" s="58"/>
      <c r="GI18" s="58"/>
      <c r="GJ18" s="58"/>
      <c r="GK18" s="58"/>
      <c r="GL18" s="58"/>
      <c r="GM18" s="58"/>
      <c r="GN18" s="58"/>
      <c r="GO18" s="58"/>
      <c r="GP18" s="58"/>
      <c r="GQ18" s="58"/>
      <c r="GR18" s="58"/>
      <c r="GS18" s="58"/>
      <c r="GT18" s="58"/>
      <c r="GU18" s="58"/>
      <c r="GV18" s="58"/>
      <c r="GW18" s="58"/>
      <c r="GX18" s="58"/>
      <c r="GY18" s="58"/>
      <c r="GZ18" s="58"/>
      <c r="HA18" s="58"/>
      <c r="HB18" s="58"/>
      <c r="HC18" s="58"/>
      <c r="HD18" s="58"/>
      <c r="HE18" s="58"/>
      <c r="HF18" s="58"/>
      <c r="HG18" s="58"/>
      <c r="HH18" s="58"/>
      <c r="HI18" s="58"/>
      <c r="HJ18" s="58"/>
      <c r="HK18" s="58"/>
      <c r="HL18" s="58"/>
      <c r="HM18" s="58"/>
    </row>
    <row r="19" spans="1:221">
      <c r="A19" s="21" t="s">
        <v>121</v>
      </c>
      <c r="B19" s="571"/>
      <c r="C19" s="572"/>
      <c r="D19" s="572">
        <v>1</v>
      </c>
      <c r="E19" s="572">
        <v>13</v>
      </c>
      <c r="F19" s="260">
        <f t="shared" si="7"/>
        <v>14</v>
      </c>
      <c r="G19" s="573">
        <v>0</v>
      </c>
      <c r="H19" s="253">
        <f t="shared" si="8"/>
        <v>14</v>
      </c>
      <c r="I19" s="572"/>
      <c r="J19" s="572"/>
      <c r="K19" s="572"/>
      <c r="L19" s="572"/>
      <c r="M19" s="258"/>
      <c r="N19" s="253"/>
      <c r="O19" s="258"/>
      <c r="P19" s="152"/>
      <c r="Q19" s="241"/>
      <c r="R19" s="241"/>
      <c r="S19" s="241"/>
      <c r="T19" s="261"/>
      <c r="U19" s="261"/>
      <c r="V19" s="259"/>
      <c r="W19" s="768">
        <v>0</v>
      </c>
      <c r="X19" s="768"/>
      <c r="Y19" s="768"/>
      <c r="Z19" s="768"/>
      <c r="AA19" s="769">
        <f t="shared" si="9"/>
        <v>0</v>
      </c>
      <c r="AB19" s="259"/>
      <c r="AC19" s="107">
        <f t="shared" si="10"/>
        <v>0</v>
      </c>
      <c r="AD19" s="571">
        <f t="shared" si="5"/>
        <v>0</v>
      </c>
      <c r="AE19" s="572"/>
      <c r="AF19" s="572">
        <f t="shared" si="2"/>
        <v>1</v>
      </c>
      <c r="AG19" s="572">
        <f t="shared" si="2"/>
        <v>13</v>
      </c>
      <c r="AH19" s="258">
        <f t="shared" si="11"/>
        <v>14</v>
      </c>
      <c r="AI19" s="573">
        <f t="shared" si="6"/>
        <v>0</v>
      </c>
      <c r="AJ19" s="258">
        <f t="shared" si="12"/>
        <v>14</v>
      </c>
      <c r="AK19" s="58"/>
      <c r="AL19" s="58"/>
      <c r="AM19" s="58"/>
      <c r="AN19" s="401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8"/>
      <c r="BA19" s="58"/>
      <c r="BB19" s="58"/>
      <c r="BC19" s="58"/>
      <c r="BD19" s="58"/>
      <c r="BE19" s="58"/>
      <c r="BF19" s="58"/>
      <c r="BG19" s="58"/>
      <c r="BH19" s="58"/>
      <c r="BI19" s="58"/>
      <c r="BJ19" s="58"/>
      <c r="BK19" s="58"/>
      <c r="BL19" s="58"/>
      <c r="BM19" s="58"/>
      <c r="BN19" s="58"/>
      <c r="BO19" s="58"/>
      <c r="BP19" s="58"/>
      <c r="BQ19" s="58"/>
      <c r="BR19" s="58"/>
      <c r="BS19" s="58"/>
      <c r="BT19" s="58"/>
      <c r="BU19" s="58"/>
      <c r="BV19" s="58"/>
      <c r="BW19" s="58"/>
      <c r="BX19" s="58"/>
      <c r="BY19" s="58"/>
      <c r="BZ19" s="58"/>
      <c r="CA19" s="58"/>
      <c r="CB19" s="58"/>
      <c r="CC19" s="58"/>
      <c r="CD19" s="58"/>
      <c r="CE19" s="58"/>
      <c r="CF19" s="58"/>
      <c r="CG19" s="58"/>
      <c r="CH19" s="58"/>
      <c r="CI19" s="58"/>
      <c r="CJ19" s="58"/>
      <c r="CK19" s="58"/>
      <c r="CL19" s="58"/>
      <c r="CM19" s="58"/>
      <c r="CN19" s="58"/>
      <c r="CO19" s="58"/>
      <c r="CP19" s="58"/>
      <c r="CQ19" s="58"/>
      <c r="CR19" s="58"/>
      <c r="CS19" s="58"/>
      <c r="CT19" s="58"/>
      <c r="CU19" s="58"/>
      <c r="CV19" s="58"/>
      <c r="CW19" s="58"/>
      <c r="CX19" s="58"/>
      <c r="CY19" s="58"/>
      <c r="CZ19" s="58"/>
      <c r="DA19" s="58"/>
      <c r="DB19" s="58"/>
      <c r="DC19" s="58"/>
      <c r="DD19" s="58"/>
      <c r="DE19" s="58"/>
      <c r="DF19" s="58"/>
      <c r="DG19" s="58"/>
      <c r="DH19" s="58"/>
      <c r="DI19" s="58"/>
      <c r="DJ19" s="58"/>
      <c r="DK19" s="58"/>
      <c r="DL19" s="58"/>
      <c r="DM19" s="58"/>
      <c r="DN19" s="58"/>
      <c r="DO19" s="58"/>
      <c r="DP19" s="58"/>
      <c r="DQ19" s="58"/>
      <c r="DR19" s="58"/>
      <c r="DS19" s="58"/>
      <c r="DT19" s="58"/>
      <c r="DU19" s="58"/>
      <c r="DV19" s="58"/>
      <c r="DW19" s="58"/>
      <c r="DX19" s="58"/>
      <c r="DY19" s="58"/>
      <c r="DZ19" s="58"/>
      <c r="EA19" s="58"/>
      <c r="EB19" s="58"/>
      <c r="EC19" s="58"/>
      <c r="ED19" s="58"/>
      <c r="EE19" s="58"/>
      <c r="EF19" s="58"/>
      <c r="EG19" s="58"/>
      <c r="EH19" s="58"/>
      <c r="EI19" s="58"/>
      <c r="EJ19" s="58"/>
      <c r="EK19" s="58"/>
      <c r="EL19" s="58"/>
      <c r="EM19" s="58"/>
      <c r="EN19" s="58"/>
      <c r="EO19" s="58"/>
      <c r="EP19" s="58"/>
      <c r="EQ19" s="58"/>
      <c r="ER19" s="58"/>
      <c r="ES19" s="58"/>
      <c r="ET19" s="58"/>
      <c r="EU19" s="58"/>
      <c r="EV19" s="58"/>
      <c r="EW19" s="58"/>
      <c r="EX19" s="58"/>
      <c r="EY19" s="58"/>
      <c r="EZ19" s="58"/>
      <c r="FA19" s="58"/>
      <c r="FB19" s="58"/>
      <c r="FC19" s="58"/>
      <c r="FD19" s="58"/>
      <c r="FE19" s="58"/>
      <c r="FF19" s="58"/>
      <c r="FG19" s="58"/>
      <c r="FH19" s="58"/>
      <c r="FI19" s="58"/>
      <c r="FJ19" s="58"/>
      <c r="FK19" s="58"/>
      <c r="FL19" s="58"/>
      <c r="FM19" s="58"/>
      <c r="FN19" s="58"/>
      <c r="FO19" s="58"/>
      <c r="FP19" s="58"/>
      <c r="FQ19" s="58"/>
      <c r="FR19" s="58"/>
      <c r="FS19" s="58"/>
      <c r="FT19" s="58"/>
      <c r="FU19" s="58"/>
      <c r="FV19" s="58"/>
      <c r="FW19" s="58"/>
      <c r="FX19" s="58"/>
      <c r="FY19" s="58"/>
      <c r="FZ19" s="58"/>
      <c r="GA19" s="58"/>
      <c r="GB19" s="58"/>
      <c r="GC19" s="58"/>
      <c r="GD19" s="58"/>
      <c r="GE19" s="58"/>
      <c r="GF19" s="58"/>
      <c r="GG19" s="58"/>
      <c r="GH19" s="58"/>
      <c r="GI19" s="58"/>
      <c r="GJ19" s="58"/>
      <c r="GK19" s="58"/>
      <c r="GL19" s="58"/>
      <c r="GM19" s="58"/>
      <c r="GN19" s="58"/>
      <c r="GO19" s="58"/>
      <c r="GP19" s="58"/>
      <c r="GQ19" s="58"/>
      <c r="GR19" s="58"/>
      <c r="GS19" s="58"/>
      <c r="GT19" s="58"/>
      <c r="GU19" s="58"/>
      <c r="GV19" s="58"/>
      <c r="GW19" s="58"/>
      <c r="GX19" s="58"/>
      <c r="GY19" s="58"/>
      <c r="GZ19" s="58"/>
      <c r="HA19" s="58"/>
      <c r="HB19" s="58"/>
      <c r="HC19" s="58"/>
      <c r="HD19" s="58"/>
      <c r="HE19" s="58"/>
      <c r="HF19" s="58"/>
      <c r="HG19" s="58"/>
      <c r="HH19" s="58"/>
      <c r="HI19" s="58"/>
      <c r="HJ19" s="58"/>
      <c r="HK19" s="58"/>
      <c r="HL19" s="58"/>
      <c r="HM19" s="58"/>
    </row>
    <row r="20" spans="1:221">
      <c r="A20" s="21" t="s">
        <v>12</v>
      </c>
      <c r="B20" s="571"/>
      <c r="C20" s="572"/>
      <c r="D20" s="572">
        <v>1</v>
      </c>
      <c r="E20" s="572">
        <v>15</v>
      </c>
      <c r="F20" s="260">
        <f t="shared" si="7"/>
        <v>16</v>
      </c>
      <c r="G20" s="573">
        <v>0</v>
      </c>
      <c r="H20" s="253">
        <f t="shared" si="8"/>
        <v>16</v>
      </c>
      <c r="I20" s="572"/>
      <c r="J20" s="572"/>
      <c r="K20" s="572"/>
      <c r="L20" s="572"/>
      <c r="M20" s="258"/>
      <c r="N20" s="253"/>
      <c r="O20" s="258"/>
      <c r="P20" s="152"/>
      <c r="Q20" s="241"/>
      <c r="R20" s="241"/>
      <c r="S20" s="241"/>
      <c r="T20" s="261"/>
      <c r="U20" s="261"/>
      <c r="V20" s="259"/>
      <c r="W20" s="768">
        <v>0</v>
      </c>
      <c r="X20" s="768"/>
      <c r="Y20" s="768"/>
      <c r="Z20" s="768"/>
      <c r="AA20" s="769">
        <f t="shared" si="9"/>
        <v>0</v>
      </c>
      <c r="AB20" s="259"/>
      <c r="AC20" s="107">
        <f t="shared" si="10"/>
        <v>0</v>
      </c>
      <c r="AD20" s="571">
        <f t="shared" si="5"/>
        <v>0</v>
      </c>
      <c r="AE20" s="572"/>
      <c r="AF20" s="572">
        <f t="shared" si="2"/>
        <v>1</v>
      </c>
      <c r="AG20" s="572">
        <f t="shared" si="2"/>
        <v>15</v>
      </c>
      <c r="AH20" s="258">
        <f t="shared" si="11"/>
        <v>16</v>
      </c>
      <c r="AI20" s="573">
        <f t="shared" si="6"/>
        <v>0</v>
      </c>
      <c r="AJ20" s="258">
        <f t="shared" si="12"/>
        <v>16</v>
      </c>
      <c r="AK20" s="58"/>
      <c r="AL20" s="58"/>
      <c r="AM20" s="58"/>
      <c r="AN20" s="401"/>
      <c r="AO20" s="58"/>
      <c r="AP20" s="58"/>
      <c r="AQ20" s="58"/>
      <c r="AR20" s="58"/>
      <c r="AS20" s="58"/>
      <c r="AT20" s="58"/>
      <c r="AU20" s="58"/>
      <c r="AV20" s="58"/>
      <c r="AW20" s="58"/>
      <c r="AX20" s="58"/>
      <c r="AY20" s="58"/>
      <c r="AZ20" s="58"/>
      <c r="BA20" s="58"/>
      <c r="BB20" s="58"/>
      <c r="BC20" s="58"/>
      <c r="BD20" s="58"/>
      <c r="BE20" s="58"/>
      <c r="BF20" s="58"/>
      <c r="BG20" s="58"/>
      <c r="BH20" s="58"/>
      <c r="BI20" s="58"/>
      <c r="BJ20" s="58"/>
      <c r="BK20" s="58"/>
      <c r="BL20" s="58"/>
      <c r="BM20" s="58"/>
      <c r="BN20" s="58"/>
      <c r="BO20" s="58"/>
      <c r="BP20" s="58"/>
      <c r="BQ20" s="58"/>
      <c r="BR20" s="58"/>
      <c r="BS20" s="58"/>
      <c r="BT20" s="58"/>
      <c r="BU20" s="58"/>
      <c r="BV20" s="58"/>
      <c r="BW20" s="58"/>
      <c r="BX20" s="58"/>
      <c r="BY20" s="58"/>
      <c r="BZ20" s="58"/>
      <c r="CA20" s="58"/>
      <c r="CB20" s="58"/>
      <c r="CC20" s="58"/>
      <c r="CD20" s="58"/>
      <c r="CE20" s="58"/>
      <c r="CF20" s="58"/>
      <c r="CG20" s="58"/>
      <c r="CH20" s="58"/>
      <c r="CI20" s="58"/>
      <c r="CJ20" s="58"/>
      <c r="CK20" s="58"/>
      <c r="CL20" s="58"/>
      <c r="CM20" s="58"/>
      <c r="CN20" s="58"/>
      <c r="CO20" s="58"/>
      <c r="CP20" s="58"/>
      <c r="CQ20" s="58"/>
      <c r="CR20" s="58"/>
      <c r="CS20" s="58"/>
      <c r="CT20" s="58"/>
      <c r="CU20" s="58"/>
      <c r="CV20" s="58"/>
      <c r="CW20" s="58"/>
      <c r="CX20" s="58"/>
      <c r="CY20" s="58"/>
      <c r="CZ20" s="58"/>
      <c r="DA20" s="58"/>
      <c r="DB20" s="58"/>
      <c r="DC20" s="58"/>
      <c r="DD20" s="58"/>
      <c r="DE20" s="58"/>
      <c r="DF20" s="58"/>
      <c r="DG20" s="58"/>
      <c r="DH20" s="58"/>
      <c r="DI20" s="58"/>
      <c r="DJ20" s="58"/>
      <c r="DK20" s="58"/>
      <c r="DL20" s="58"/>
      <c r="DM20" s="58"/>
      <c r="DN20" s="58"/>
      <c r="DO20" s="58"/>
      <c r="DP20" s="58"/>
      <c r="DQ20" s="58"/>
      <c r="DR20" s="58"/>
      <c r="DS20" s="58"/>
      <c r="DT20" s="58"/>
      <c r="DU20" s="58"/>
      <c r="DV20" s="58"/>
      <c r="DW20" s="58"/>
      <c r="DX20" s="58"/>
      <c r="DY20" s="58"/>
      <c r="DZ20" s="58"/>
      <c r="EA20" s="58"/>
      <c r="EB20" s="58"/>
      <c r="EC20" s="58"/>
      <c r="ED20" s="58"/>
      <c r="EE20" s="58"/>
      <c r="EF20" s="58"/>
      <c r="EG20" s="58"/>
      <c r="EH20" s="58"/>
      <c r="EI20" s="58"/>
      <c r="EJ20" s="58"/>
      <c r="EK20" s="58"/>
      <c r="EL20" s="58"/>
      <c r="EM20" s="58"/>
      <c r="EN20" s="58"/>
      <c r="EO20" s="58"/>
      <c r="EP20" s="58"/>
      <c r="EQ20" s="58"/>
      <c r="ER20" s="58"/>
      <c r="ES20" s="58"/>
      <c r="ET20" s="58"/>
      <c r="EU20" s="58"/>
      <c r="EV20" s="58"/>
      <c r="EW20" s="58"/>
      <c r="EX20" s="58"/>
      <c r="EY20" s="58"/>
      <c r="EZ20" s="58"/>
      <c r="FA20" s="58"/>
      <c r="FB20" s="58"/>
      <c r="FC20" s="58"/>
      <c r="FD20" s="58"/>
      <c r="FE20" s="58"/>
      <c r="FF20" s="58"/>
      <c r="FG20" s="58"/>
      <c r="FH20" s="58"/>
      <c r="FI20" s="58"/>
      <c r="FJ20" s="58"/>
      <c r="FK20" s="58"/>
      <c r="FL20" s="58"/>
      <c r="FM20" s="58"/>
      <c r="FN20" s="58"/>
      <c r="FO20" s="58"/>
      <c r="FP20" s="58"/>
      <c r="FQ20" s="58"/>
      <c r="FR20" s="58"/>
      <c r="FS20" s="58"/>
      <c r="FT20" s="58"/>
      <c r="FU20" s="58"/>
      <c r="FV20" s="58"/>
      <c r="FW20" s="58"/>
      <c r="FX20" s="58"/>
      <c r="FY20" s="58"/>
      <c r="FZ20" s="58"/>
      <c r="GA20" s="58"/>
      <c r="GB20" s="58"/>
      <c r="GC20" s="58"/>
      <c r="GD20" s="58"/>
      <c r="GE20" s="58"/>
      <c r="GF20" s="58"/>
      <c r="GG20" s="58"/>
      <c r="GH20" s="58"/>
      <c r="GI20" s="58"/>
      <c r="GJ20" s="58"/>
      <c r="GK20" s="58"/>
      <c r="GL20" s="58"/>
      <c r="GM20" s="58"/>
      <c r="GN20" s="58"/>
      <c r="GO20" s="58"/>
      <c r="GP20" s="58"/>
      <c r="GQ20" s="58"/>
      <c r="GR20" s="58"/>
      <c r="GS20" s="58"/>
      <c r="GT20" s="58"/>
      <c r="GU20" s="58"/>
      <c r="GV20" s="58"/>
      <c r="GW20" s="58"/>
      <c r="GX20" s="58"/>
      <c r="GY20" s="58"/>
      <c r="GZ20" s="58"/>
      <c r="HA20" s="58"/>
      <c r="HB20" s="58"/>
      <c r="HC20" s="58"/>
      <c r="HD20" s="58"/>
      <c r="HE20" s="58"/>
      <c r="HF20" s="58"/>
      <c r="HG20" s="58"/>
      <c r="HH20" s="58"/>
      <c r="HI20" s="58"/>
      <c r="HJ20" s="58"/>
      <c r="HK20" s="58"/>
      <c r="HL20" s="58"/>
      <c r="HM20" s="58"/>
    </row>
    <row r="21" spans="1:221">
      <c r="A21" s="21" t="s">
        <v>13</v>
      </c>
      <c r="B21" s="571"/>
      <c r="C21" s="572"/>
      <c r="D21" s="572">
        <v>0</v>
      </c>
      <c r="E21" s="572">
        <v>8</v>
      </c>
      <c r="F21" s="260">
        <f t="shared" si="7"/>
        <v>8</v>
      </c>
      <c r="G21" s="573">
        <v>0</v>
      </c>
      <c r="H21" s="253">
        <f t="shared" si="8"/>
        <v>8</v>
      </c>
      <c r="I21" s="572"/>
      <c r="J21" s="572"/>
      <c r="K21" s="572"/>
      <c r="L21" s="572"/>
      <c r="M21" s="258"/>
      <c r="N21" s="253"/>
      <c r="O21" s="258"/>
      <c r="P21" s="152"/>
      <c r="Q21" s="241"/>
      <c r="R21" s="241"/>
      <c r="S21" s="241"/>
      <c r="T21" s="261"/>
      <c r="U21" s="261"/>
      <c r="V21" s="259"/>
      <c r="W21" s="768">
        <v>0</v>
      </c>
      <c r="X21" s="768"/>
      <c r="Y21" s="768"/>
      <c r="Z21" s="768"/>
      <c r="AA21" s="769">
        <f t="shared" si="9"/>
        <v>0</v>
      </c>
      <c r="AB21" s="259"/>
      <c r="AC21" s="107">
        <f t="shared" si="10"/>
        <v>0</v>
      </c>
      <c r="AD21" s="571">
        <f t="shared" si="5"/>
        <v>0</v>
      </c>
      <c r="AE21" s="572"/>
      <c r="AF21" s="572">
        <f t="shared" si="2"/>
        <v>0</v>
      </c>
      <c r="AG21" s="572">
        <f t="shared" si="2"/>
        <v>8</v>
      </c>
      <c r="AH21" s="258">
        <f t="shared" si="11"/>
        <v>8</v>
      </c>
      <c r="AI21" s="573">
        <f t="shared" si="6"/>
        <v>0</v>
      </c>
      <c r="AJ21" s="258">
        <f t="shared" si="12"/>
        <v>8</v>
      </c>
      <c r="AK21" s="58"/>
      <c r="AL21" s="58"/>
      <c r="AM21" s="58"/>
      <c r="AN21" s="401"/>
      <c r="AO21" s="58"/>
      <c r="AP21" s="58"/>
      <c r="AQ21" s="58"/>
      <c r="AR21" s="58"/>
      <c r="AS21" s="58"/>
      <c r="AT21" s="58"/>
      <c r="AU21" s="58"/>
      <c r="AV21" s="58"/>
      <c r="AW21" s="58"/>
      <c r="AX21" s="58"/>
      <c r="AY21" s="58"/>
      <c r="AZ21" s="58"/>
      <c r="BA21" s="58"/>
      <c r="BB21" s="58"/>
      <c r="BC21" s="58"/>
      <c r="BD21" s="58"/>
      <c r="BE21" s="58"/>
      <c r="BF21" s="58"/>
      <c r="BG21" s="58"/>
      <c r="BH21" s="58"/>
      <c r="BI21" s="58"/>
      <c r="BJ21" s="58"/>
      <c r="BK21" s="58"/>
      <c r="BL21" s="58"/>
      <c r="BM21" s="58"/>
      <c r="BN21" s="58"/>
      <c r="BO21" s="58"/>
      <c r="BP21" s="58"/>
      <c r="BQ21" s="58"/>
      <c r="BR21" s="58"/>
      <c r="BS21" s="58"/>
      <c r="BT21" s="58"/>
      <c r="BU21" s="58"/>
      <c r="BV21" s="58"/>
      <c r="BW21" s="58"/>
      <c r="BX21" s="58"/>
      <c r="BY21" s="58"/>
      <c r="BZ21" s="58"/>
      <c r="CA21" s="58"/>
      <c r="CB21" s="58"/>
      <c r="CC21" s="58"/>
      <c r="CD21" s="58"/>
      <c r="CE21" s="58"/>
      <c r="CF21" s="58"/>
      <c r="CG21" s="58"/>
      <c r="CH21" s="58"/>
      <c r="CI21" s="58"/>
      <c r="CJ21" s="58"/>
      <c r="CK21" s="58"/>
      <c r="CL21" s="58"/>
      <c r="CM21" s="58"/>
      <c r="CN21" s="58"/>
      <c r="CO21" s="58"/>
      <c r="CP21" s="58"/>
      <c r="CQ21" s="58"/>
      <c r="CR21" s="58"/>
      <c r="CS21" s="58"/>
      <c r="CT21" s="58"/>
      <c r="CU21" s="58"/>
      <c r="CV21" s="58"/>
      <c r="CW21" s="58"/>
      <c r="CX21" s="58"/>
      <c r="CY21" s="58"/>
      <c r="CZ21" s="58"/>
      <c r="DA21" s="58"/>
      <c r="DB21" s="58"/>
      <c r="DC21" s="58"/>
      <c r="DD21" s="58"/>
      <c r="DE21" s="58"/>
      <c r="DF21" s="58"/>
      <c r="DG21" s="58"/>
      <c r="DH21" s="58"/>
      <c r="DI21" s="58"/>
      <c r="DJ21" s="58"/>
      <c r="DK21" s="58"/>
      <c r="DL21" s="58"/>
      <c r="DM21" s="58"/>
      <c r="DN21" s="58"/>
      <c r="DO21" s="58"/>
      <c r="DP21" s="58"/>
      <c r="DQ21" s="58"/>
      <c r="DR21" s="58"/>
      <c r="DS21" s="58"/>
      <c r="DT21" s="58"/>
      <c r="DU21" s="58"/>
      <c r="DV21" s="58"/>
      <c r="DW21" s="58"/>
      <c r="DX21" s="58"/>
      <c r="DY21" s="58"/>
      <c r="DZ21" s="58"/>
      <c r="EA21" s="58"/>
      <c r="EB21" s="58"/>
      <c r="EC21" s="58"/>
      <c r="ED21" s="58"/>
      <c r="EE21" s="58"/>
      <c r="EF21" s="58"/>
      <c r="EG21" s="58"/>
      <c r="EH21" s="58"/>
      <c r="EI21" s="58"/>
      <c r="EJ21" s="58"/>
      <c r="EK21" s="58"/>
      <c r="EL21" s="58"/>
      <c r="EM21" s="58"/>
      <c r="EN21" s="58"/>
      <c r="EO21" s="58"/>
      <c r="EP21" s="58"/>
      <c r="EQ21" s="58"/>
      <c r="ER21" s="58"/>
      <c r="ES21" s="58"/>
      <c r="ET21" s="58"/>
      <c r="EU21" s="58"/>
      <c r="EV21" s="58"/>
      <c r="EW21" s="58"/>
      <c r="EX21" s="58"/>
      <c r="EY21" s="58"/>
      <c r="EZ21" s="58"/>
      <c r="FA21" s="58"/>
      <c r="FB21" s="58"/>
      <c r="FC21" s="58"/>
      <c r="FD21" s="58"/>
      <c r="FE21" s="58"/>
      <c r="FF21" s="58"/>
      <c r="FG21" s="58"/>
      <c r="FH21" s="58"/>
      <c r="FI21" s="58"/>
      <c r="FJ21" s="58"/>
      <c r="FK21" s="58"/>
      <c r="FL21" s="58"/>
      <c r="FM21" s="58"/>
      <c r="FN21" s="58"/>
      <c r="FO21" s="58"/>
      <c r="FP21" s="58"/>
      <c r="FQ21" s="58"/>
      <c r="FR21" s="58"/>
      <c r="FS21" s="58"/>
      <c r="FT21" s="58"/>
      <c r="FU21" s="58"/>
      <c r="FV21" s="58"/>
      <c r="FW21" s="58"/>
      <c r="FX21" s="58"/>
      <c r="FY21" s="58"/>
      <c r="FZ21" s="58"/>
      <c r="GA21" s="58"/>
      <c r="GB21" s="58"/>
      <c r="GC21" s="58"/>
      <c r="GD21" s="58"/>
      <c r="GE21" s="58"/>
      <c r="GF21" s="58"/>
      <c r="GG21" s="58"/>
      <c r="GH21" s="58"/>
      <c r="GI21" s="58"/>
      <c r="GJ21" s="58"/>
      <c r="GK21" s="58"/>
      <c r="GL21" s="58"/>
      <c r="GM21" s="58"/>
      <c r="GN21" s="58"/>
      <c r="GO21" s="58"/>
      <c r="GP21" s="58"/>
      <c r="GQ21" s="58"/>
      <c r="GR21" s="58"/>
      <c r="GS21" s="58"/>
      <c r="GT21" s="58"/>
      <c r="GU21" s="58"/>
      <c r="GV21" s="58"/>
      <c r="GW21" s="58"/>
      <c r="GX21" s="58"/>
      <c r="GY21" s="58"/>
      <c r="GZ21" s="58"/>
      <c r="HA21" s="58"/>
      <c r="HB21" s="58"/>
      <c r="HC21" s="58"/>
      <c r="HD21" s="58"/>
      <c r="HE21" s="58"/>
      <c r="HF21" s="58"/>
      <c r="HG21" s="58"/>
      <c r="HH21" s="58"/>
      <c r="HI21" s="58"/>
      <c r="HJ21" s="58"/>
      <c r="HK21" s="58"/>
      <c r="HL21" s="58"/>
      <c r="HM21" s="58"/>
    </row>
    <row r="22" spans="1:221">
      <c r="A22" s="21" t="s">
        <v>122</v>
      </c>
      <c r="B22" s="571"/>
      <c r="C22" s="572"/>
      <c r="D22" s="572">
        <v>0</v>
      </c>
      <c r="E22" s="572">
        <v>1</v>
      </c>
      <c r="F22" s="260">
        <f t="shared" si="7"/>
        <v>1</v>
      </c>
      <c r="G22" s="573">
        <v>1</v>
      </c>
      <c r="H22" s="253">
        <f t="shared" si="8"/>
        <v>2</v>
      </c>
      <c r="I22" s="260"/>
      <c r="J22" s="260"/>
      <c r="K22" s="260"/>
      <c r="L22" s="260"/>
      <c r="M22" s="258"/>
      <c r="N22" s="253"/>
      <c r="O22" s="258"/>
      <c r="P22" s="152"/>
      <c r="Q22" s="241"/>
      <c r="R22" s="241"/>
      <c r="S22" s="241"/>
      <c r="T22" s="261"/>
      <c r="U22" s="261"/>
      <c r="V22" s="259"/>
      <c r="W22" s="768">
        <v>1</v>
      </c>
      <c r="X22" s="768"/>
      <c r="Y22" s="768"/>
      <c r="Z22" s="768"/>
      <c r="AA22" s="769">
        <f t="shared" si="9"/>
        <v>1</v>
      </c>
      <c r="AB22" s="259"/>
      <c r="AC22" s="107">
        <f t="shared" si="10"/>
        <v>1</v>
      </c>
      <c r="AD22" s="571">
        <f t="shared" si="5"/>
        <v>1</v>
      </c>
      <c r="AE22" s="572"/>
      <c r="AF22" s="572">
        <f t="shared" si="2"/>
        <v>0</v>
      </c>
      <c r="AG22" s="572">
        <f t="shared" si="2"/>
        <v>1</v>
      </c>
      <c r="AH22" s="258">
        <f t="shared" si="11"/>
        <v>2</v>
      </c>
      <c r="AI22" s="573">
        <f t="shared" si="6"/>
        <v>1</v>
      </c>
      <c r="AJ22" s="258">
        <f t="shared" si="12"/>
        <v>3</v>
      </c>
      <c r="AK22" s="58"/>
      <c r="AL22" s="58"/>
      <c r="AM22" s="58"/>
      <c r="AN22" s="401"/>
      <c r="AO22" s="58"/>
      <c r="AP22" s="58"/>
      <c r="AQ22" s="58"/>
      <c r="AR22" s="58"/>
      <c r="AS22" s="58"/>
      <c r="AT22" s="58"/>
      <c r="AU22" s="58"/>
      <c r="AV22" s="58"/>
      <c r="AW22" s="58"/>
      <c r="AX22" s="58"/>
      <c r="AY22" s="58"/>
      <c r="AZ22" s="58"/>
      <c r="BA22" s="58"/>
      <c r="BB22" s="58"/>
      <c r="BC22" s="58"/>
      <c r="BD22" s="58"/>
      <c r="BE22" s="58"/>
      <c r="BF22" s="58"/>
      <c r="BG22" s="58"/>
      <c r="BH22" s="58"/>
      <c r="BI22" s="58"/>
      <c r="BJ22" s="58"/>
      <c r="BK22" s="58"/>
      <c r="BL22" s="58"/>
      <c r="BM22" s="58"/>
      <c r="BN22" s="58"/>
      <c r="BO22" s="58"/>
      <c r="BP22" s="58"/>
      <c r="BQ22" s="58"/>
      <c r="BR22" s="58"/>
      <c r="BS22" s="58"/>
      <c r="BT22" s="58"/>
      <c r="BU22" s="58"/>
      <c r="BV22" s="58"/>
      <c r="BW22" s="58"/>
      <c r="BX22" s="58"/>
      <c r="BY22" s="58"/>
      <c r="BZ22" s="58"/>
      <c r="CA22" s="58"/>
      <c r="CB22" s="58"/>
      <c r="CC22" s="58"/>
      <c r="CD22" s="58"/>
      <c r="CE22" s="58"/>
      <c r="CF22" s="58"/>
      <c r="CG22" s="58"/>
      <c r="CH22" s="58"/>
      <c r="CI22" s="58"/>
      <c r="CJ22" s="58"/>
      <c r="CK22" s="58"/>
      <c r="CL22" s="58"/>
      <c r="CM22" s="58"/>
      <c r="CN22" s="58"/>
      <c r="CO22" s="58"/>
      <c r="CP22" s="58"/>
      <c r="CQ22" s="58"/>
      <c r="CR22" s="58"/>
      <c r="CS22" s="58"/>
      <c r="CT22" s="58"/>
      <c r="CU22" s="58"/>
      <c r="CV22" s="58"/>
      <c r="CW22" s="58"/>
      <c r="CX22" s="58"/>
      <c r="CY22" s="58"/>
      <c r="CZ22" s="58"/>
      <c r="DA22" s="58"/>
      <c r="DB22" s="58"/>
      <c r="DC22" s="58"/>
      <c r="DD22" s="58"/>
      <c r="DE22" s="58"/>
      <c r="DF22" s="58"/>
      <c r="DG22" s="58"/>
      <c r="DH22" s="58"/>
      <c r="DI22" s="58"/>
      <c r="DJ22" s="58"/>
      <c r="DK22" s="58"/>
      <c r="DL22" s="58"/>
      <c r="DM22" s="58"/>
      <c r="DN22" s="58"/>
      <c r="DO22" s="58"/>
      <c r="DP22" s="58"/>
      <c r="DQ22" s="58"/>
      <c r="DR22" s="58"/>
      <c r="DS22" s="58"/>
      <c r="DT22" s="58"/>
      <c r="DU22" s="58"/>
      <c r="DV22" s="58"/>
      <c r="DW22" s="58"/>
      <c r="DX22" s="58"/>
      <c r="DY22" s="58"/>
      <c r="DZ22" s="58"/>
      <c r="EA22" s="58"/>
      <c r="EB22" s="58"/>
      <c r="EC22" s="58"/>
      <c r="ED22" s="58"/>
      <c r="EE22" s="58"/>
      <c r="EF22" s="58"/>
      <c r="EG22" s="58"/>
      <c r="EH22" s="58"/>
      <c r="EI22" s="58"/>
      <c r="EJ22" s="58"/>
      <c r="EK22" s="58"/>
      <c r="EL22" s="58"/>
      <c r="EM22" s="58"/>
      <c r="EN22" s="58"/>
      <c r="EO22" s="58"/>
      <c r="EP22" s="58"/>
      <c r="EQ22" s="58"/>
      <c r="ER22" s="58"/>
      <c r="ES22" s="58"/>
      <c r="ET22" s="58"/>
      <c r="EU22" s="58"/>
      <c r="EV22" s="58"/>
      <c r="EW22" s="58"/>
      <c r="EX22" s="58"/>
      <c r="EY22" s="58"/>
      <c r="EZ22" s="58"/>
      <c r="FA22" s="58"/>
      <c r="FB22" s="58"/>
      <c r="FC22" s="58"/>
      <c r="FD22" s="58"/>
      <c r="FE22" s="58"/>
      <c r="FF22" s="58"/>
      <c r="FG22" s="58"/>
      <c r="FH22" s="58"/>
      <c r="FI22" s="58"/>
      <c r="FJ22" s="58"/>
      <c r="FK22" s="58"/>
      <c r="FL22" s="58"/>
      <c r="FM22" s="58"/>
      <c r="FN22" s="58"/>
      <c r="FO22" s="58"/>
      <c r="FP22" s="58"/>
      <c r="FQ22" s="58"/>
      <c r="FR22" s="58"/>
      <c r="FS22" s="58"/>
      <c r="FT22" s="58"/>
      <c r="FU22" s="58"/>
      <c r="FV22" s="58"/>
      <c r="FW22" s="58"/>
      <c r="FX22" s="58"/>
      <c r="FY22" s="58"/>
      <c r="FZ22" s="58"/>
      <c r="GA22" s="58"/>
      <c r="GB22" s="58"/>
      <c r="GC22" s="58"/>
      <c r="GD22" s="58"/>
      <c r="GE22" s="58"/>
      <c r="GF22" s="58"/>
      <c r="GG22" s="58"/>
      <c r="GH22" s="58"/>
      <c r="GI22" s="58"/>
      <c r="GJ22" s="58"/>
      <c r="GK22" s="58"/>
      <c r="GL22" s="58"/>
      <c r="GM22" s="58"/>
      <c r="GN22" s="58"/>
      <c r="GO22" s="58"/>
      <c r="GP22" s="58"/>
      <c r="GQ22" s="58"/>
      <c r="GR22" s="58"/>
      <c r="GS22" s="58"/>
      <c r="GT22" s="58"/>
      <c r="GU22" s="58"/>
      <c r="GV22" s="58"/>
      <c r="GW22" s="58"/>
      <c r="GX22" s="58"/>
      <c r="GY22" s="58"/>
      <c r="GZ22" s="58"/>
      <c r="HA22" s="58"/>
      <c r="HB22" s="58"/>
      <c r="HC22" s="58"/>
      <c r="HD22" s="58"/>
      <c r="HE22" s="58"/>
      <c r="HF22" s="58"/>
      <c r="HG22" s="58"/>
      <c r="HH22" s="58"/>
      <c r="HI22" s="58"/>
      <c r="HJ22" s="58"/>
      <c r="HK22" s="58"/>
      <c r="HL22" s="58"/>
      <c r="HM22" s="58"/>
    </row>
    <row r="23" spans="1:221">
      <c r="A23" s="21" t="s">
        <v>123</v>
      </c>
      <c r="B23" s="571"/>
      <c r="C23" s="572"/>
      <c r="D23" s="572">
        <v>0</v>
      </c>
      <c r="E23" s="572">
        <v>2</v>
      </c>
      <c r="F23" s="260">
        <f t="shared" si="7"/>
        <v>2</v>
      </c>
      <c r="G23" s="573">
        <v>0</v>
      </c>
      <c r="H23" s="253">
        <f t="shared" si="8"/>
        <v>2</v>
      </c>
      <c r="I23" s="260"/>
      <c r="J23" s="260"/>
      <c r="K23" s="260"/>
      <c r="L23" s="260"/>
      <c r="M23" s="258"/>
      <c r="N23" s="253"/>
      <c r="O23" s="258"/>
      <c r="P23" s="152"/>
      <c r="Q23" s="241"/>
      <c r="R23" s="241"/>
      <c r="S23" s="241"/>
      <c r="T23" s="261"/>
      <c r="U23" s="261"/>
      <c r="V23" s="259"/>
      <c r="W23" s="768">
        <v>0</v>
      </c>
      <c r="X23" s="768"/>
      <c r="Y23" s="768"/>
      <c r="Z23" s="768"/>
      <c r="AA23" s="769">
        <f t="shared" si="9"/>
        <v>0</v>
      </c>
      <c r="AB23" s="259"/>
      <c r="AC23" s="107">
        <f t="shared" si="10"/>
        <v>0</v>
      </c>
      <c r="AD23" s="571">
        <f t="shared" si="5"/>
        <v>0</v>
      </c>
      <c r="AE23" s="572"/>
      <c r="AF23" s="572">
        <f t="shared" si="2"/>
        <v>0</v>
      </c>
      <c r="AG23" s="572">
        <f t="shared" si="2"/>
        <v>2</v>
      </c>
      <c r="AH23" s="258">
        <f t="shared" si="11"/>
        <v>2</v>
      </c>
      <c r="AI23" s="573">
        <f t="shared" si="6"/>
        <v>0</v>
      </c>
      <c r="AJ23" s="258">
        <f t="shared" si="12"/>
        <v>2</v>
      </c>
      <c r="AK23" s="58"/>
      <c r="AL23" s="58"/>
      <c r="AM23" s="58"/>
      <c r="AN23" s="401"/>
      <c r="AO23" s="58"/>
      <c r="AP23" s="58"/>
      <c r="AQ23" s="58"/>
      <c r="AR23" s="58"/>
      <c r="AS23" s="58"/>
      <c r="AT23" s="58"/>
      <c r="AU23" s="58"/>
      <c r="AV23" s="58"/>
      <c r="AW23" s="58"/>
      <c r="AX23" s="58"/>
      <c r="AY23" s="58"/>
      <c r="AZ23" s="58"/>
      <c r="BA23" s="58"/>
      <c r="BB23" s="58"/>
      <c r="BC23" s="58"/>
      <c r="BD23" s="58"/>
      <c r="BE23" s="58"/>
      <c r="BF23" s="58"/>
      <c r="BG23" s="58"/>
      <c r="BH23" s="58"/>
      <c r="BI23" s="58"/>
      <c r="BJ23" s="58"/>
      <c r="BK23" s="58"/>
      <c r="BL23" s="58"/>
      <c r="BM23" s="58"/>
      <c r="BN23" s="58"/>
      <c r="BO23" s="58"/>
      <c r="BP23" s="58"/>
      <c r="BQ23" s="58"/>
      <c r="BR23" s="58"/>
      <c r="BS23" s="58"/>
      <c r="BT23" s="58"/>
      <c r="BU23" s="58"/>
      <c r="BV23" s="58"/>
      <c r="BW23" s="58"/>
      <c r="BX23" s="58"/>
      <c r="BY23" s="58"/>
      <c r="BZ23" s="58"/>
      <c r="CA23" s="58"/>
      <c r="CB23" s="58"/>
      <c r="CC23" s="58"/>
      <c r="CD23" s="58"/>
      <c r="CE23" s="58"/>
      <c r="CF23" s="58"/>
      <c r="CG23" s="58"/>
      <c r="CH23" s="58"/>
      <c r="CI23" s="58"/>
      <c r="CJ23" s="58"/>
      <c r="CK23" s="58"/>
      <c r="CL23" s="58"/>
      <c r="CM23" s="58"/>
      <c r="CN23" s="58"/>
      <c r="CO23" s="58"/>
      <c r="CP23" s="58"/>
      <c r="CQ23" s="58"/>
      <c r="CR23" s="58"/>
      <c r="CS23" s="58"/>
      <c r="CT23" s="58"/>
      <c r="CU23" s="58"/>
      <c r="CV23" s="58"/>
      <c r="CW23" s="58"/>
      <c r="CX23" s="58"/>
      <c r="CY23" s="58"/>
      <c r="CZ23" s="58"/>
      <c r="DA23" s="58"/>
      <c r="DB23" s="58"/>
      <c r="DC23" s="58"/>
      <c r="DD23" s="58"/>
      <c r="DE23" s="58"/>
      <c r="DF23" s="58"/>
      <c r="DG23" s="58"/>
      <c r="DH23" s="58"/>
      <c r="DI23" s="58"/>
      <c r="DJ23" s="58"/>
      <c r="DK23" s="58"/>
      <c r="DL23" s="58"/>
      <c r="DM23" s="58"/>
      <c r="DN23" s="58"/>
      <c r="DO23" s="58"/>
      <c r="DP23" s="58"/>
      <c r="DQ23" s="58"/>
      <c r="DR23" s="58"/>
      <c r="DS23" s="58"/>
      <c r="DT23" s="58"/>
      <c r="DU23" s="58"/>
      <c r="DV23" s="58"/>
      <c r="DW23" s="58"/>
      <c r="DX23" s="58"/>
      <c r="DY23" s="58"/>
      <c r="DZ23" s="58"/>
      <c r="EA23" s="58"/>
      <c r="EB23" s="58"/>
      <c r="EC23" s="58"/>
      <c r="ED23" s="58"/>
      <c r="EE23" s="58"/>
      <c r="EF23" s="58"/>
      <c r="EG23" s="58"/>
      <c r="EH23" s="58"/>
      <c r="EI23" s="58"/>
      <c r="EJ23" s="58"/>
      <c r="EK23" s="58"/>
      <c r="EL23" s="58"/>
      <c r="EM23" s="58"/>
      <c r="EN23" s="58"/>
      <c r="EO23" s="58"/>
      <c r="EP23" s="58"/>
      <c r="EQ23" s="58"/>
      <c r="ER23" s="58"/>
      <c r="ES23" s="58"/>
      <c r="ET23" s="58"/>
      <c r="EU23" s="58"/>
      <c r="EV23" s="58"/>
      <c r="EW23" s="58"/>
      <c r="EX23" s="58"/>
      <c r="EY23" s="58"/>
      <c r="EZ23" s="58"/>
      <c r="FA23" s="58"/>
      <c r="FB23" s="58"/>
      <c r="FC23" s="58"/>
      <c r="FD23" s="58"/>
      <c r="FE23" s="58"/>
      <c r="FF23" s="58"/>
      <c r="FG23" s="58"/>
      <c r="FH23" s="58"/>
      <c r="FI23" s="58"/>
      <c r="FJ23" s="58"/>
      <c r="FK23" s="58"/>
      <c r="FL23" s="58"/>
      <c r="FM23" s="58"/>
      <c r="FN23" s="58"/>
      <c r="FO23" s="58"/>
      <c r="FP23" s="58"/>
      <c r="FQ23" s="58"/>
      <c r="FR23" s="58"/>
      <c r="FS23" s="58"/>
      <c r="FT23" s="58"/>
      <c r="FU23" s="58"/>
      <c r="FV23" s="58"/>
      <c r="FW23" s="58"/>
      <c r="FX23" s="58"/>
      <c r="FY23" s="58"/>
      <c r="FZ23" s="58"/>
      <c r="GA23" s="58"/>
      <c r="GB23" s="58"/>
      <c r="GC23" s="58"/>
      <c r="GD23" s="58"/>
      <c r="GE23" s="58"/>
      <c r="GF23" s="58"/>
      <c r="GG23" s="58"/>
      <c r="GH23" s="58"/>
      <c r="GI23" s="58"/>
      <c r="GJ23" s="58"/>
      <c r="GK23" s="58"/>
      <c r="GL23" s="58"/>
      <c r="GM23" s="58"/>
      <c r="GN23" s="58"/>
      <c r="GO23" s="58"/>
      <c r="GP23" s="58"/>
      <c r="GQ23" s="58"/>
      <c r="GR23" s="58"/>
      <c r="GS23" s="58"/>
      <c r="GT23" s="58"/>
      <c r="GU23" s="58"/>
      <c r="GV23" s="58"/>
      <c r="GW23" s="58"/>
      <c r="GX23" s="58"/>
      <c r="GY23" s="58"/>
      <c r="GZ23" s="58"/>
      <c r="HA23" s="58"/>
      <c r="HB23" s="58"/>
      <c r="HC23" s="58"/>
      <c r="HD23" s="58"/>
      <c r="HE23" s="58"/>
      <c r="HF23" s="58"/>
      <c r="HG23" s="58"/>
      <c r="HH23" s="58"/>
      <c r="HI23" s="58"/>
      <c r="HJ23" s="58"/>
      <c r="HK23" s="58"/>
      <c r="HL23" s="58"/>
      <c r="HM23" s="58"/>
    </row>
    <row r="24" spans="1:221" s="58" customFormat="1">
      <c r="A24" s="21" t="s">
        <v>14</v>
      </c>
      <c r="B24" s="571"/>
      <c r="C24" s="572"/>
      <c r="D24" s="572">
        <v>0</v>
      </c>
      <c r="E24" s="572">
        <v>0</v>
      </c>
      <c r="F24" s="260">
        <f t="shared" si="7"/>
        <v>0</v>
      </c>
      <c r="G24" s="573">
        <v>0</v>
      </c>
      <c r="H24" s="253">
        <f t="shared" si="8"/>
        <v>0</v>
      </c>
      <c r="I24" s="260"/>
      <c r="J24" s="260"/>
      <c r="K24" s="260"/>
      <c r="L24" s="260"/>
      <c r="M24" s="258"/>
      <c r="N24" s="253"/>
      <c r="O24" s="258"/>
      <c r="P24" s="152"/>
      <c r="Q24" s="241"/>
      <c r="R24" s="241"/>
      <c r="S24" s="241"/>
      <c r="T24" s="261"/>
      <c r="U24" s="261"/>
      <c r="V24" s="259"/>
      <c r="W24" s="768">
        <v>1</v>
      </c>
      <c r="X24" s="768"/>
      <c r="Y24" s="768"/>
      <c r="Z24" s="768"/>
      <c r="AA24" s="769">
        <f t="shared" si="9"/>
        <v>1</v>
      </c>
      <c r="AB24" s="259"/>
      <c r="AC24" s="107">
        <f t="shared" si="10"/>
        <v>1</v>
      </c>
      <c r="AD24" s="571">
        <f t="shared" si="5"/>
        <v>1</v>
      </c>
      <c r="AE24" s="572"/>
      <c r="AF24" s="572">
        <f t="shared" ref="AF24:AF27" si="13">D24+K24+R24+Y24</f>
        <v>0</v>
      </c>
      <c r="AG24" s="572">
        <f t="shared" ref="AG24:AG26" si="14">E24+L24+S24+Z24</f>
        <v>0</v>
      </c>
      <c r="AH24" s="258">
        <f t="shared" si="11"/>
        <v>1</v>
      </c>
      <c r="AI24" s="573">
        <f t="shared" si="6"/>
        <v>0</v>
      </c>
      <c r="AJ24" s="258">
        <f t="shared" si="12"/>
        <v>1</v>
      </c>
      <c r="AN24" s="401"/>
    </row>
    <row r="25" spans="1:221" s="58" customFormat="1">
      <c r="A25" s="21" t="s">
        <v>15</v>
      </c>
      <c r="B25" s="571"/>
      <c r="C25" s="572"/>
      <c r="D25" s="572">
        <v>0</v>
      </c>
      <c r="E25" s="572">
        <v>0</v>
      </c>
      <c r="F25" s="260">
        <f t="shared" si="7"/>
        <v>0</v>
      </c>
      <c r="G25" s="573">
        <v>0</v>
      </c>
      <c r="H25" s="253">
        <f t="shared" si="8"/>
        <v>0</v>
      </c>
      <c r="I25" s="260"/>
      <c r="J25" s="260"/>
      <c r="K25" s="260"/>
      <c r="L25" s="260"/>
      <c r="M25" s="258"/>
      <c r="N25" s="253"/>
      <c r="O25" s="258"/>
      <c r="P25" s="152"/>
      <c r="Q25" s="241"/>
      <c r="R25" s="241"/>
      <c r="S25" s="241"/>
      <c r="T25" s="261"/>
      <c r="U25" s="261"/>
      <c r="V25" s="259"/>
      <c r="W25" s="768">
        <v>0</v>
      </c>
      <c r="X25" s="768"/>
      <c r="Y25" s="768"/>
      <c r="Z25" s="768"/>
      <c r="AA25" s="769">
        <f t="shared" si="9"/>
        <v>0</v>
      </c>
      <c r="AB25" s="259"/>
      <c r="AC25" s="107">
        <f t="shared" si="10"/>
        <v>0</v>
      </c>
      <c r="AD25" s="571">
        <f t="shared" si="5"/>
        <v>0</v>
      </c>
      <c r="AE25" s="572"/>
      <c r="AF25" s="572">
        <f t="shared" si="13"/>
        <v>0</v>
      </c>
      <c r="AG25" s="572">
        <f t="shared" si="14"/>
        <v>0</v>
      </c>
      <c r="AH25" s="258">
        <f t="shared" si="11"/>
        <v>0</v>
      </c>
      <c r="AI25" s="573">
        <f t="shared" si="6"/>
        <v>0</v>
      </c>
      <c r="AJ25" s="258">
        <f t="shared" si="12"/>
        <v>0</v>
      </c>
      <c r="AN25" s="401"/>
    </row>
    <row r="26" spans="1:221">
      <c r="A26" s="21" t="s">
        <v>16</v>
      </c>
      <c r="B26" s="571"/>
      <c r="C26" s="572"/>
      <c r="D26" s="572">
        <v>0</v>
      </c>
      <c r="E26" s="572">
        <v>1</v>
      </c>
      <c r="F26" s="260">
        <f t="shared" si="7"/>
        <v>1</v>
      </c>
      <c r="G26" s="573">
        <v>0</v>
      </c>
      <c r="H26" s="253">
        <f t="shared" si="8"/>
        <v>1</v>
      </c>
      <c r="I26" s="260"/>
      <c r="J26" s="260"/>
      <c r="K26" s="260"/>
      <c r="L26" s="260"/>
      <c r="M26" s="258"/>
      <c r="N26" s="253"/>
      <c r="O26" s="258"/>
      <c r="P26" s="152"/>
      <c r="Q26" s="241"/>
      <c r="R26" s="241"/>
      <c r="S26" s="241"/>
      <c r="T26" s="261"/>
      <c r="U26" s="261"/>
      <c r="V26" s="259"/>
      <c r="W26" s="768">
        <v>0</v>
      </c>
      <c r="X26" s="768"/>
      <c r="Y26" s="768"/>
      <c r="Z26" s="768"/>
      <c r="AA26" s="769">
        <f t="shared" si="9"/>
        <v>0</v>
      </c>
      <c r="AB26" s="259"/>
      <c r="AC26" s="107">
        <f t="shared" si="10"/>
        <v>0</v>
      </c>
      <c r="AD26" s="571">
        <f t="shared" si="5"/>
        <v>0</v>
      </c>
      <c r="AE26" s="572"/>
      <c r="AF26" s="572">
        <f t="shared" si="13"/>
        <v>0</v>
      </c>
      <c r="AG26" s="572">
        <f t="shared" si="14"/>
        <v>1</v>
      </c>
      <c r="AH26" s="258">
        <f t="shared" si="11"/>
        <v>1</v>
      </c>
      <c r="AI26" s="573">
        <f t="shared" si="6"/>
        <v>0</v>
      </c>
      <c r="AJ26" s="258">
        <f t="shared" si="12"/>
        <v>1</v>
      </c>
      <c r="AN26" s="401"/>
    </row>
    <row r="27" spans="1:221">
      <c r="A27" s="21" t="s">
        <v>17</v>
      </c>
      <c r="B27" s="571"/>
      <c r="C27" s="572"/>
      <c r="D27" s="572">
        <v>1</v>
      </c>
      <c r="E27" s="572"/>
      <c r="F27" s="260">
        <f t="shared" si="7"/>
        <v>1</v>
      </c>
      <c r="G27" s="573">
        <v>0</v>
      </c>
      <c r="H27" s="253">
        <f t="shared" si="8"/>
        <v>1</v>
      </c>
      <c r="I27" s="260"/>
      <c r="J27" s="260"/>
      <c r="K27" s="260"/>
      <c r="L27" s="260"/>
      <c r="M27" s="258"/>
      <c r="N27" s="253"/>
      <c r="O27" s="258"/>
      <c r="P27" s="152"/>
      <c r="Q27" s="241"/>
      <c r="R27" s="241"/>
      <c r="S27" s="241"/>
      <c r="T27" s="261"/>
      <c r="U27" s="261"/>
      <c r="V27" s="259"/>
      <c r="W27" s="768">
        <v>1</v>
      </c>
      <c r="X27" s="768"/>
      <c r="Y27" s="768"/>
      <c r="Z27" s="768"/>
      <c r="AA27" s="769">
        <f t="shared" si="9"/>
        <v>1</v>
      </c>
      <c r="AB27" s="259"/>
      <c r="AC27" s="107">
        <f t="shared" si="10"/>
        <v>1</v>
      </c>
      <c r="AD27" s="571">
        <f t="shared" si="5"/>
        <v>1</v>
      </c>
      <c r="AE27" s="572"/>
      <c r="AF27" s="572">
        <f t="shared" si="13"/>
        <v>1</v>
      </c>
      <c r="AG27" s="572"/>
      <c r="AH27" s="258">
        <f t="shared" si="11"/>
        <v>2</v>
      </c>
      <c r="AI27" s="573">
        <f t="shared" si="6"/>
        <v>0</v>
      </c>
      <c r="AJ27" s="258">
        <f t="shared" si="12"/>
        <v>2</v>
      </c>
      <c r="AN27" s="401"/>
    </row>
    <row r="28" spans="1:221">
      <c r="A28" s="21" t="s">
        <v>18</v>
      </c>
      <c r="B28" s="571"/>
      <c r="C28" s="572"/>
      <c r="D28" s="572"/>
      <c r="E28" s="572"/>
      <c r="F28" s="260"/>
      <c r="G28" s="573">
        <v>0</v>
      </c>
      <c r="H28" s="253">
        <f t="shared" si="8"/>
        <v>0</v>
      </c>
      <c r="I28" s="260"/>
      <c r="J28" s="260"/>
      <c r="K28" s="260"/>
      <c r="L28" s="260"/>
      <c r="M28" s="258"/>
      <c r="N28" s="253"/>
      <c r="O28" s="258"/>
      <c r="P28" s="152"/>
      <c r="Q28" s="241"/>
      <c r="R28" s="241"/>
      <c r="S28" s="241"/>
      <c r="T28" s="261"/>
      <c r="U28" s="261"/>
      <c r="V28" s="259"/>
      <c r="W28" s="574"/>
      <c r="X28" s="574"/>
      <c r="Y28" s="574"/>
      <c r="Z28" s="574"/>
      <c r="AA28" s="514"/>
      <c r="AB28" s="259"/>
      <c r="AC28" s="107"/>
      <c r="AD28" s="571"/>
      <c r="AE28" s="572"/>
      <c r="AF28" s="572"/>
      <c r="AG28" s="572"/>
      <c r="AH28" s="258"/>
      <c r="AI28" s="573">
        <f t="shared" si="6"/>
        <v>0</v>
      </c>
      <c r="AJ28" s="258">
        <f t="shared" si="12"/>
        <v>0</v>
      </c>
      <c r="AN28" s="401"/>
    </row>
    <row r="29" spans="1:221">
      <c r="A29" s="21" t="s">
        <v>19</v>
      </c>
      <c r="B29" s="571"/>
      <c r="C29" s="572"/>
      <c r="D29" s="572"/>
      <c r="E29" s="572"/>
      <c r="F29" s="260"/>
      <c r="G29" s="573">
        <v>0</v>
      </c>
      <c r="H29" s="253">
        <f t="shared" si="8"/>
        <v>0</v>
      </c>
      <c r="I29" s="260"/>
      <c r="J29" s="260"/>
      <c r="K29" s="260"/>
      <c r="L29" s="260"/>
      <c r="M29" s="258"/>
      <c r="N29" s="253"/>
      <c r="O29" s="258"/>
      <c r="P29" s="152"/>
      <c r="Q29" s="241"/>
      <c r="R29" s="241"/>
      <c r="S29" s="241"/>
      <c r="T29" s="261"/>
      <c r="U29" s="261"/>
      <c r="V29" s="259"/>
      <c r="W29" s="241"/>
      <c r="X29" s="241"/>
      <c r="Y29" s="241"/>
      <c r="Z29" s="241"/>
      <c r="AA29" s="241"/>
      <c r="AB29" s="259"/>
      <c r="AC29" s="241"/>
      <c r="AD29" s="571"/>
      <c r="AE29" s="572"/>
      <c r="AF29" s="572"/>
      <c r="AG29" s="572"/>
      <c r="AH29" s="258"/>
      <c r="AI29" s="573">
        <f t="shared" si="6"/>
        <v>0</v>
      </c>
      <c r="AJ29" s="258">
        <f t="shared" si="12"/>
        <v>0</v>
      </c>
      <c r="AN29" s="401"/>
    </row>
    <row r="30" spans="1:221">
      <c r="A30" s="21" t="s">
        <v>20</v>
      </c>
      <c r="B30" s="571"/>
      <c r="C30" s="572"/>
      <c r="D30" s="572"/>
      <c r="E30" s="572"/>
      <c r="F30" s="260"/>
      <c r="G30" s="573">
        <v>0</v>
      </c>
      <c r="H30" s="253">
        <f t="shared" si="8"/>
        <v>0</v>
      </c>
      <c r="I30" s="572"/>
      <c r="J30" s="260"/>
      <c r="K30" s="260"/>
      <c r="L30" s="260"/>
      <c r="M30" s="258"/>
      <c r="N30" s="253"/>
      <c r="O30" s="258"/>
      <c r="P30" s="152"/>
      <c r="Q30" s="241"/>
      <c r="R30" s="241"/>
      <c r="S30" s="241"/>
      <c r="T30" s="261"/>
      <c r="U30" s="261"/>
      <c r="V30" s="259"/>
      <c r="W30" s="241"/>
      <c r="X30" s="241"/>
      <c r="Y30" s="241"/>
      <c r="Z30" s="241"/>
      <c r="AA30" s="241"/>
      <c r="AB30" s="259"/>
      <c r="AC30" s="241"/>
      <c r="AD30" s="571"/>
      <c r="AE30" s="572"/>
      <c r="AF30" s="572"/>
      <c r="AG30" s="572"/>
      <c r="AH30" s="258"/>
      <c r="AI30" s="573">
        <f t="shared" si="6"/>
        <v>0</v>
      </c>
      <c r="AJ30" s="258">
        <f t="shared" si="12"/>
        <v>0</v>
      </c>
      <c r="AN30" s="401"/>
    </row>
    <row r="31" spans="1:221">
      <c r="A31" s="21" t="s">
        <v>21</v>
      </c>
      <c r="B31" s="571"/>
      <c r="C31" s="572"/>
      <c r="D31" s="572"/>
      <c r="E31" s="572"/>
      <c r="F31" s="260"/>
      <c r="G31" s="573">
        <v>0</v>
      </c>
      <c r="H31" s="253">
        <f t="shared" si="8"/>
        <v>0</v>
      </c>
      <c r="I31" s="260"/>
      <c r="J31" s="260"/>
      <c r="K31" s="260"/>
      <c r="L31" s="260"/>
      <c r="M31" s="258"/>
      <c r="N31" s="253"/>
      <c r="O31" s="258"/>
      <c r="P31" s="152"/>
      <c r="Q31" s="241"/>
      <c r="R31" s="241"/>
      <c r="S31" s="241"/>
      <c r="T31" s="261"/>
      <c r="U31" s="261"/>
      <c r="V31" s="259"/>
      <c r="W31" s="241"/>
      <c r="X31" s="241"/>
      <c r="Y31" s="241"/>
      <c r="Z31" s="241"/>
      <c r="AA31" s="241"/>
      <c r="AB31" s="259"/>
      <c r="AC31" s="241"/>
      <c r="AD31" s="571"/>
      <c r="AE31" s="572"/>
      <c r="AF31" s="572"/>
      <c r="AG31" s="572"/>
      <c r="AH31" s="258"/>
      <c r="AI31" s="573">
        <f t="shared" si="6"/>
        <v>0</v>
      </c>
      <c r="AJ31" s="258">
        <f t="shared" si="12"/>
        <v>0</v>
      </c>
      <c r="AN31" s="401"/>
    </row>
    <row r="32" spans="1:221">
      <c r="A32" s="21" t="s">
        <v>22</v>
      </c>
      <c r="B32" s="571"/>
      <c r="C32" s="572"/>
      <c r="D32" s="572"/>
      <c r="E32" s="572"/>
      <c r="F32" s="260"/>
      <c r="G32" s="573">
        <v>0</v>
      </c>
      <c r="H32" s="253">
        <f t="shared" si="8"/>
        <v>0</v>
      </c>
      <c r="I32" s="260"/>
      <c r="J32" s="260"/>
      <c r="K32" s="260"/>
      <c r="L32" s="260"/>
      <c r="M32" s="258"/>
      <c r="N32" s="253"/>
      <c r="O32" s="258"/>
      <c r="P32" s="152"/>
      <c r="Q32" s="241"/>
      <c r="R32" s="241"/>
      <c r="S32" s="241"/>
      <c r="T32" s="261"/>
      <c r="U32" s="261"/>
      <c r="V32" s="259"/>
      <c r="W32" s="241"/>
      <c r="X32" s="241"/>
      <c r="Y32" s="241"/>
      <c r="Z32" s="241"/>
      <c r="AA32" s="241"/>
      <c r="AB32" s="259"/>
      <c r="AC32" s="241"/>
      <c r="AD32" s="571"/>
      <c r="AE32" s="572"/>
      <c r="AF32" s="572"/>
      <c r="AG32" s="572"/>
      <c r="AH32" s="258"/>
      <c r="AI32" s="573">
        <f t="shared" si="6"/>
        <v>0</v>
      </c>
      <c r="AJ32" s="258">
        <f t="shared" si="12"/>
        <v>0</v>
      </c>
      <c r="AN32" s="401"/>
    </row>
    <row r="33" spans="1:40">
      <c r="A33" s="21" t="s">
        <v>23</v>
      </c>
      <c r="B33" s="571"/>
      <c r="C33" s="572"/>
      <c r="D33" s="572"/>
      <c r="E33" s="572"/>
      <c r="F33" s="260"/>
      <c r="G33" s="573">
        <v>0</v>
      </c>
      <c r="H33" s="253">
        <f t="shared" si="8"/>
        <v>0</v>
      </c>
      <c r="I33" s="260"/>
      <c r="J33" s="260"/>
      <c r="K33" s="260"/>
      <c r="L33" s="260"/>
      <c r="M33" s="258"/>
      <c r="N33" s="253"/>
      <c r="O33" s="258"/>
      <c r="P33" s="152"/>
      <c r="Q33" s="241"/>
      <c r="R33" s="241"/>
      <c r="S33" s="241"/>
      <c r="T33" s="261"/>
      <c r="U33" s="261"/>
      <c r="V33" s="259"/>
      <c r="W33" s="241"/>
      <c r="X33" s="241"/>
      <c r="Y33" s="241"/>
      <c r="Z33" s="241"/>
      <c r="AA33" s="241"/>
      <c r="AB33" s="259"/>
      <c r="AC33" s="241"/>
      <c r="AD33" s="571"/>
      <c r="AE33" s="572"/>
      <c r="AF33" s="572"/>
      <c r="AG33" s="572"/>
      <c r="AH33" s="258"/>
      <c r="AI33" s="573">
        <f t="shared" si="6"/>
        <v>0</v>
      </c>
      <c r="AJ33" s="258">
        <f t="shared" si="12"/>
        <v>0</v>
      </c>
      <c r="AN33" s="401"/>
    </row>
    <row r="34" spans="1:40">
      <c r="A34" s="21" t="s">
        <v>24</v>
      </c>
      <c r="B34" s="571"/>
      <c r="C34" s="572"/>
      <c r="D34" s="572"/>
      <c r="E34" s="572"/>
      <c r="F34" s="260"/>
      <c r="G34" s="573">
        <v>0</v>
      </c>
      <c r="H34" s="253">
        <f t="shared" si="8"/>
        <v>0</v>
      </c>
      <c r="I34" s="260"/>
      <c r="J34" s="260"/>
      <c r="K34" s="260"/>
      <c r="L34" s="260"/>
      <c r="M34" s="258"/>
      <c r="N34" s="253"/>
      <c r="O34" s="258"/>
      <c r="P34" s="152"/>
      <c r="Q34" s="241"/>
      <c r="R34" s="241"/>
      <c r="S34" s="241"/>
      <c r="T34" s="261"/>
      <c r="U34" s="261"/>
      <c r="V34" s="259"/>
      <c r="W34" s="241"/>
      <c r="X34" s="241"/>
      <c r="Y34" s="241"/>
      <c r="Z34" s="241"/>
      <c r="AA34" s="241"/>
      <c r="AB34" s="259"/>
      <c r="AC34" s="241"/>
      <c r="AD34" s="571"/>
      <c r="AE34" s="572"/>
      <c r="AF34" s="572"/>
      <c r="AG34" s="572"/>
      <c r="AH34" s="258"/>
      <c r="AI34" s="573">
        <f t="shared" si="6"/>
        <v>0</v>
      </c>
      <c r="AJ34" s="258">
        <f t="shared" si="12"/>
        <v>0</v>
      </c>
      <c r="AN34" s="401"/>
    </row>
    <row r="35" spans="1:40">
      <c r="A35" s="21" t="s">
        <v>25</v>
      </c>
      <c r="B35" s="571"/>
      <c r="C35" s="572"/>
      <c r="D35" s="572"/>
      <c r="E35" s="572"/>
      <c r="F35" s="260"/>
      <c r="G35" s="573">
        <v>0</v>
      </c>
      <c r="H35" s="253">
        <f t="shared" si="8"/>
        <v>0</v>
      </c>
      <c r="I35" s="260"/>
      <c r="J35" s="260"/>
      <c r="K35" s="260"/>
      <c r="L35" s="260"/>
      <c r="M35" s="258"/>
      <c r="N35" s="253"/>
      <c r="O35" s="258"/>
      <c r="P35" s="152"/>
      <c r="Q35" s="241"/>
      <c r="R35" s="241"/>
      <c r="S35" s="241"/>
      <c r="T35" s="261"/>
      <c r="U35" s="261"/>
      <c r="V35" s="259"/>
      <c r="W35" s="241"/>
      <c r="X35" s="241"/>
      <c r="Y35" s="241"/>
      <c r="Z35" s="241"/>
      <c r="AA35" s="241"/>
      <c r="AB35" s="259"/>
      <c r="AC35" s="241"/>
      <c r="AD35" s="571"/>
      <c r="AE35" s="572"/>
      <c r="AF35" s="572"/>
      <c r="AG35" s="572"/>
      <c r="AH35" s="258"/>
      <c r="AI35" s="573">
        <f t="shared" si="6"/>
        <v>0</v>
      </c>
      <c r="AJ35" s="258">
        <f t="shared" si="12"/>
        <v>0</v>
      </c>
      <c r="AN35" s="401"/>
    </row>
    <row r="36" spans="1:40">
      <c r="A36" s="21" t="s">
        <v>125</v>
      </c>
      <c r="B36" s="571"/>
      <c r="C36" s="572"/>
      <c r="D36" s="572"/>
      <c r="E36" s="572"/>
      <c r="F36" s="260"/>
      <c r="G36" s="573">
        <v>1</v>
      </c>
      <c r="H36" s="253">
        <f t="shared" si="8"/>
        <v>1</v>
      </c>
      <c r="I36" s="260"/>
      <c r="J36" s="260"/>
      <c r="K36" s="260"/>
      <c r="L36" s="260"/>
      <c r="M36" s="258"/>
      <c r="N36" s="253"/>
      <c r="O36" s="258"/>
      <c r="P36" s="152"/>
      <c r="Q36" s="241"/>
      <c r="R36" s="241"/>
      <c r="S36" s="241"/>
      <c r="T36" s="261"/>
      <c r="U36" s="261"/>
      <c r="V36" s="259"/>
      <c r="W36" s="241"/>
      <c r="X36" s="241"/>
      <c r="Y36" s="241"/>
      <c r="Z36" s="241"/>
      <c r="AA36" s="241"/>
      <c r="AB36" s="259"/>
      <c r="AC36" s="241"/>
      <c r="AD36" s="571"/>
      <c r="AE36" s="572"/>
      <c r="AF36" s="572"/>
      <c r="AG36" s="572"/>
      <c r="AH36" s="258"/>
      <c r="AI36" s="573">
        <f t="shared" si="6"/>
        <v>1</v>
      </c>
      <c r="AJ36" s="258">
        <f t="shared" si="12"/>
        <v>1</v>
      </c>
      <c r="AN36" s="401"/>
    </row>
    <row r="37" spans="1:40">
      <c r="A37" s="21" t="s">
        <v>126</v>
      </c>
      <c r="B37" s="260"/>
      <c r="C37" s="260"/>
      <c r="D37" s="260"/>
      <c r="E37" s="260"/>
      <c r="F37" s="260"/>
      <c r="G37" s="253"/>
      <c r="H37" s="253"/>
      <c r="I37" s="260"/>
      <c r="J37" s="260"/>
      <c r="K37" s="260"/>
      <c r="L37" s="260"/>
      <c r="M37" s="258"/>
      <c r="N37" s="253"/>
      <c r="O37" s="258"/>
      <c r="P37" s="152"/>
      <c r="Q37" s="241"/>
      <c r="R37" s="241"/>
      <c r="S37" s="241"/>
      <c r="T37" s="261"/>
      <c r="U37" s="261"/>
      <c r="V37" s="259"/>
      <c r="W37" s="241"/>
      <c r="X37" s="241"/>
      <c r="Y37" s="241"/>
      <c r="Z37" s="241"/>
      <c r="AA37" s="241"/>
      <c r="AB37" s="259"/>
      <c r="AC37" s="241"/>
      <c r="AD37" s="571"/>
      <c r="AE37" s="572"/>
      <c r="AF37" s="572"/>
      <c r="AG37" s="572"/>
      <c r="AH37" s="258"/>
      <c r="AI37" s="573"/>
      <c r="AJ37" s="258"/>
      <c r="AN37" s="401"/>
    </row>
    <row r="38" spans="1:40">
      <c r="A38" s="21" t="s">
        <v>26</v>
      </c>
      <c r="B38" s="260"/>
      <c r="C38" s="260"/>
      <c r="D38" s="260"/>
      <c r="E38" s="260"/>
      <c r="F38" s="260"/>
      <c r="G38" s="253"/>
      <c r="H38" s="253"/>
      <c r="I38" s="260"/>
      <c r="J38" s="260"/>
      <c r="K38" s="260"/>
      <c r="L38" s="260"/>
      <c r="M38" s="258"/>
      <c r="N38" s="253"/>
      <c r="O38" s="258"/>
      <c r="P38" s="152"/>
      <c r="Q38" s="241"/>
      <c r="R38" s="241"/>
      <c r="S38" s="241"/>
      <c r="T38" s="261"/>
      <c r="U38" s="261"/>
      <c r="V38" s="259"/>
      <c r="W38" s="241"/>
      <c r="X38" s="241"/>
      <c r="Y38" s="241"/>
      <c r="Z38" s="241"/>
      <c r="AA38" s="241"/>
      <c r="AB38" s="259"/>
      <c r="AC38" s="241"/>
      <c r="AD38" s="571"/>
      <c r="AE38" s="572"/>
      <c r="AF38" s="572"/>
      <c r="AG38" s="572"/>
      <c r="AH38" s="258"/>
      <c r="AI38" s="573"/>
      <c r="AJ38" s="258"/>
      <c r="AN38" s="401"/>
    </row>
    <row r="39" spans="1:40">
      <c r="A39" s="21" t="s">
        <v>27</v>
      </c>
      <c r="B39" s="260"/>
      <c r="C39" s="260"/>
      <c r="D39" s="260"/>
      <c r="E39" s="260"/>
      <c r="F39" s="260"/>
      <c r="G39" s="253"/>
      <c r="H39" s="253"/>
      <c r="I39" s="260"/>
      <c r="J39" s="260"/>
      <c r="K39" s="260"/>
      <c r="L39" s="260"/>
      <c r="M39" s="258"/>
      <c r="N39" s="253"/>
      <c r="O39" s="258"/>
      <c r="P39" s="152"/>
      <c r="Q39" s="241"/>
      <c r="R39" s="241"/>
      <c r="S39" s="241"/>
      <c r="T39" s="261"/>
      <c r="U39" s="261"/>
      <c r="V39" s="259"/>
      <c r="W39" s="241"/>
      <c r="X39" s="241"/>
      <c r="Y39" s="241"/>
      <c r="Z39" s="241"/>
      <c r="AA39" s="241"/>
      <c r="AB39" s="259"/>
      <c r="AC39" s="241"/>
      <c r="AD39" s="571"/>
      <c r="AE39" s="572"/>
      <c r="AF39" s="572"/>
      <c r="AG39" s="572"/>
      <c r="AH39" s="258"/>
      <c r="AI39" s="573"/>
      <c r="AJ39" s="258"/>
      <c r="AN39" s="401"/>
    </row>
    <row r="40" spans="1:40" ht="13.5" thickBot="1">
      <c r="A40" s="286"/>
      <c r="B40" s="260"/>
      <c r="C40" s="260"/>
      <c r="D40" s="260"/>
      <c r="E40" s="260"/>
      <c r="F40" s="260"/>
      <c r="G40" s="306"/>
      <c r="H40" s="306"/>
      <c r="I40" s="289"/>
      <c r="J40" s="289"/>
      <c r="K40" s="289"/>
      <c r="L40" s="289"/>
      <c r="M40" s="290"/>
      <c r="N40" s="306"/>
      <c r="O40" s="290"/>
      <c r="P40" s="152"/>
      <c r="Q40" s="241"/>
      <c r="R40" s="241"/>
      <c r="S40" s="241"/>
      <c r="T40" s="261"/>
      <c r="U40" s="261"/>
      <c r="V40" s="259"/>
      <c r="W40" s="241"/>
      <c r="X40" s="241"/>
      <c r="Y40" s="241"/>
      <c r="Z40" s="241"/>
      <c r="AA40" s="241"/>
      <c r="AB40" s="259"/>
      <c r="AC40" s="241"/>
      <c r="AD40" s="262"/>
      <c r="AE40" s="263"/>
      <c r="AF40" s="263"/>
      <c r="AG40" s="263"/>
      <c r="AH40" s="264"/>
      <c r="AI40" s="339"/>
      <c r="AJ40" s="264"/>
      <c r="AN40" s="401"/>
    </row>
    <row r="41" spans="1:40" ht="13.5" thickBot="1">
      <c r="A41" s="286" t="s">
        <v>2</v>
      </c>
      <c r="B41" s="254">
        <f t="shared" ref="B41:H41" si="15">SUM(B8:B40)</f>
        <v>52444</v>
      </c>
      <c r="C41" s="255">
        <f t="shared" si="15"/>
        <v>6457</v>
      </c>
      <c r="D41" s="255">
        <f t="shared" si="15"/>
        <v>57792</v>
      </c>
      <c r="E41" s="255">
        <f t="shared" si="15"/>
        <v>8023</v>
      </c>
      <c r="F41" s="255">
        <f t="shared" si="15"/>
        <v>124716</v>
      </c>
      <c r="G41" s="257">
        <f t="shared" si="15"/>
        <v>20</v>
      </c>
      <c r="H41" s="256">
        <f t="shared" si="15"/>
        <v>124736</v>
      </c>
      <c r="I41" s="254">
        <f t="shared" ref="I41:O41" si="16">SUM(I8:I40)</f>
        <v>6846</v>
      </c>
      <c r="J41" s="255">
        <f t="shared" si="16"/>
        <v>8</v>
      </c>
      <c r="K41" s="255">
        <f t="shared" si="16"/>
        <v>79</v>
      </c>
      <c r="L41" s="255">
        <f t="shared" si="16"/>
        <v>55</v>
      </c>
      <c r="M41" s="255">
        <f t="shared" si="16"/>
        <v>6988</v>
      </c>
      <c r="N41" s="257"/>
      <c r="O41" s="256">
        <f t="shared" si="16"/>
        <v>6988</v>
      </c>
      <c r="P41" s="254">
        <f t="shared" ref="P41:V41" si="17">SUM(P8:P40)</f>
        <v>60</v>
      </c>
      <c r="Q41" s="255">
        <f t="shared" si="17"/>
        <v>11</v>
      </c>
      <c r="R41" s="255">
        <f t="shared" si="17"/>
        <v>75</v>
      </c>
      <c r="S41" s="255">
        <f t="shared" si="17"/>
        <v>12</v>
      </c>
      <c r="T41" s="255">
        <f t="shared" si="17"/>
        <v>158</v>
      </c>
      <c r="U41" s="257"/>
      <c r="V41" s="257">
        <f t="shared" si="17"/>
        <v>158</v>
      </c>
      <c r="W41" s="254">
        <f t="shared" ref="W41:AC41" si="18">SUM(W8:W40)</f>
        <v>52</v>
      </c>
      <c r="X41" s="255">
        <f t="shared" si="18"/>
        <v>0</v>
      </c>
      <c r="Y41" s="255">
        <f t="shared" si="18"/>
        <v>0</v>
      </c>
      <c r="Z41" s="255">
        <f t="shared" si="18"/>
        <v>0</v>
      </c>
      <c r="AA41" s="255">
        <f t="shared" si="18"/>
        <v>52</v>
      </c>
      <c r="AB41" s="257"/>
      <c r="AC41" s="257">
        <f t="shared" si="18"/>
        <v>52</v>
      </c>
      <c r="AD41" s="254">
        <f t="shared" ref="AD41:AJ41" si="19">SUM(AD8:AD40)</f>
        <v>59402</v>
      </c>
      <c r="AE41" s="255">
        <f t="shared" si="19"/>
        <v>6476</v>
      </c>
      <c r="AF41" s="255">
        <f t="shared" si="19"/>
        <v>57946</v>
      </c>
      <c r="AG41" s="255">
        <f t="shared" si="19"/>
        <v>8090</v>
      </c>
      <c r="AH41" s="255">
        <f t="shared" si="19"/>
        <v>131914</v>
      </c>
      <c r="AI41" s="257">
        <f t="shared" si="19"/>
        <v>20</v>
      </c>
      <c r="AJ41" s="256">
        <f t="shared" si="19"/>
        <v>131934</v>
      </c>
      <c r="AK41" s="242"/>
      <c r="AL41" s="401"/>
      <c r="AM41" s="401"/>
      <c r="AN41" s="401"/>
    </row>
    <row r="42" spans="1:40">
      <c r="A42" s="299" t="s">
        <v>103</v>
      </c>
      <c r="B42" s="335">
        <f t="shared" ref="B42:AJ42" si="20">B8+B9</f>
        <v>31279</v>
      </c>
      <c r="C42" s="325">
        <f t="shared" si="20"/>
        <v>1601</v>
      </c>
      <c r="D42" s="325">
        <f t="shared" si="20"/>
        <v>16049</v>
      </c>
      <c r="E42" s="325">
        <f t="shared" si="20"/>
        <v>1573</v>
      </c>
      <c r="F42" s="328">
        <f t="shared" si="20"/>
        <v>50502</v>
      </c>
      <c r="G42" s="327">
        <f t="shared" si="20"/>
        <v>6</v>
      </c>
      <c r="H42" s="327">
        <f t="shared" si="20"/>
        <v>50508</v>
      </c>
      <c r="I42" s="335">
        <f t="shared" si="20"/>
        <v>6714</v>
      </c>
      <c r="J42" s="325">
        <f t="shared" si="20"/>
        <v>8</v>
      </c>
      <c r="K42" s="325">
        <f t="shared" si="20"/>
        <v>52</v>
      </c>
      <c r="L42" s="325">
        <f t="shared" si="20"/>
        <v>41</v>
      </c>
      <c r="M42" s="328">
        <f t="shared" si="20"/>
        <v>6815</v>
      </c>
      <c r="N42" s="327"/>
      <c r="O42" s="327">
        <f t="shared" si="20"/>
        <v>6815</v>
      </c>
      <c r="P42" s="335">
        <f t="shared" si="20"/>
        <v>3</v>
      </c>
      <c r="Q42" s="325">
        <f t="shared" si="20"/>
        <v>0</v>
      </c>
      <c r="R42" s="325">
        <f t="shared" si="20"/>
        <v>0</v>
      </c>
      <c r="S42" s="325">
        <f t="shared" si="20"/>
        <v>0</v>
      </c>
      <c r="T42" s="328">
        <f t="shared" si="20"/>
        <v>3</v>
      </c>
      <c r="U42" s="327"/>
      <c r="V42" s="327">
        <f t="shared" si="20"/>
        <v>3</v>
      </c>
      <c r="W42" s="335">
        <f t="shared" si="20"/>
        <v>14</v>
      </c>
      <c r="X42" s="325">
        <f t="shared" si="20"/>
        <v>0</v>
      </c>
      <c r="Y42" s="325">
        <f t="shared" si="20"/>
        <v>0</v>
      </c>
      <c r="Z42" s="325">
        <f t="shared" si="20"/>
        <v>0</v>
      </c>
      <c r="AA42" s="328">
        <f t="shared" si="20"/>
        <v>14</v>
      </c>
      <c r="AB42" s="327"/>
      <c r="AC42" s="327">
        <f t="shared" si="20"/>
        <v>14</v>
      </c>
      <c r="AD42" s="335">
        <f t="shared" si="20"/>
        <v>38010</v>
      </c>
      <c r="AE42" s="325">
        <f t="shared" si="20"/>
        <v>1609</v>
      </c>
      <c r="AF42" s="325">
        <f t="shared" si="20"/>
        <v>16101</v>
      </c>
      <c r="AG42" s="325">
        <f t="shared" si="20"/>
        <v>1614</v>
      </c>
      <c r="AH42" s="328">
        <f t="shared" si="20"/>
        <v>57334</v>
      </c>
      <c r="AI42" s="327">
        <f t="shared" si="20"/>
        <v>6</v>
      </c>
      <c r="AJ42" s="327">
        <f t="shared" si="20"/>
        <v>57340</v>
      </c>
      <c r="AL42" s="401"/>
      <c r="AM42" s="401"/>
      <c r="AN42" s="401"/>
    </row>
    <row r="43" spans="1:40">
      <c r="A43" s="153" t="s">
        <v>128</v>
      </c>
      <c r="B43" s="335">
        <f t="shared" ref="B43:H43" si="21">SUM(B10:B12)</f>
        <v>19783</v>
      </c>
      <c r="C43" s="325">
        <f t="shared" si="21"/>
        <v>3986</v>
      </c>
      <c r="D43" s="325">
        <f t="shared" si="21"/>
        <v>36733</v>
      </c>
      <c r="E43" s="325">
        <f t="shared" si="21"/>
        <v>4463</v>
      </c>
      <c r="F43" s="328">
        <f t="shared" si="21"/>
        <v>64965</v>
      </c>
      <c r="G43" s="328">
        <f t="shared" si="21"/>
        <v>9</v>
      </c>
      <c r="H43" s="328">
        <f t="shared" si="21"/>
        <v>64974</v>
      </c>
      <c r="I43" s="335">
        <f t="shared" ref="I43:AJ43" si="22">SUM(I10:I12)</f>
        <v>132</v>
      </c>
      <c r="J43" s="325">
        <f t="shared" si="22"/>
        <v>0</v>
      </c>
      <c r="K43" s="325">
        <f t="shared" si="22"/>
        <v>27</v>
      </c>
      <c r="L43" s="325">
        <f t="shared" si="22"/>
        <v>14</v>
      </c>
      <c r="M43" s="328">
        <f t="shared" si="22"/>
        <v>173</v>
      </c>
      <c r="N43" s="328"/>
      <c r="O43" s="328">
        <f t="shared" si="22"/>
        <v>173</v>
      </c>
      <c r="P43" s="335">
        <f t="shared" si="22"/>
        <v>22</v>
      </c>
      <c r="Q43" s="325">
        <f t="shared" si="22"/>
        <v>3</v>
      </c>
      <c r="R43" s="325">
        <f t="shared" si="22"/>
        <v>11</v>
      </c>
      <c r="S43" s="325">
        <f t="shared" si="22"/>
        <v>0</v>
      </c>
      <c r="T43" s="328">
        <f t="shared" si="22"/>
        <v>36</v>
      </c>
      <c r="U43" s="328"/>
      <c r="V43" s="331">
        <f t="shared" si="22"/>
        <v>36</v>
      </c>
      <c r="W43" s="335">
        <f t="shared" si="22"/>
        <v>18</v>
      </c>
      <c r="X43" s="325">
        <f t="shared" si="22"/>
        <v>0</v>
      </c>
      <c r="Y43" s="325">
        <f t="shared" si="22"/>
        <v>0</v>
      </c>
      <c r="Z43" s="325">
        <f t="shared" si="22"/>
        <v>0</v>
      </c>
      <c r="AA43" s="328">
        <f t="shared" si="22"/>
        <v>18</v>
      </c>
      <c r="AB43" s="328"/>
      <c r="AC43" s="331">
        <f t="shared" si="22"/>
        <v>18</v>
      </c>
      <c r="AD43" s="335">
        <f t="shared" si="22"/>
        <v>19955</v>
      </c>
      <c r="AE43" s="325">
        <f t="shared" si="22"/>
        <v>3989</v>
      </c>
      <c r="AF43" s="325">
        <f t="shared" si="22"/>
        <v>36771</v>
      </c>
      <c r="AG43" s="325">
        <f t="shared" si="22"/>
        <v>4477</v>
      </c>
      <c r="AH43" s="328">
        <f t="shared" si="22"/>
        <v>65192</v>
      </c>
      <c r="AI43" s="328">
        <f t="shared" si="22"/>
        <v>9</v>
      </c>
      <c r="AJ43" s="328">
        <f t="shared" si="22"/>
        <v>65201</v>
      </c>
      <c r="AL43" s="401"/>
      <c r="AM43" s="401"/>
      <c r="AN43" s="401"/>
    </row>
    <row r="44" spans="1:40">
      <c r="A44" s="153" t="s">
        <v>129</v>
      </c>
      <c r="B44" s="335">
        <f t="shared" ref="B44:H44" si="23">SUM(B13:B14)</f>
        <v>1352</v>
      </c>
      <c r="C44" s="325">
        <f t="shared" si="23"/>
        <v>820</v>
      </c>
      <c r="D44" s="325">
        <f t="shared" si="23"/>
        <v>4745</v>
      </c>
      <c r="E44" s="325">
        <f t="shared" si="23"/>
        <v>1585</v>
      </c>
      <c r="F44" s="328">
        <f t="shared" si="23"/>
        <v>8502</v>
      </c>
      <c r="G44" s="328">
        <f t="shared" si="23"/>
        <v>2</v>
      </c>
      <c r="H44" s="328">
        <f t="shared" si="23"/>
        <v>8504</v>
      </c>
      <c r="I44" s="335">
        <f t="shared" ref="I44:V44" si="24">SUM(I13:I14)</f>
        <v>0</v>
      </c>
      <c r="J44" s="325">
        <f t="shared" si="24"/>
        <v>0</v>
      </c>
      <c r="K44" s="325">
        <f t="shared" si="24"/>
        <v>0</v>
      </c>
      <c r="L44" s="325">
        <f t="shared" si="24"/>
        <v>0</v>
      </c>
      <c r="M44" s="328">
        <f t="shared" si="24"/>
        <v>0</v>
      </c>
      <c r="N44" s="328"/>
      <c r="O44" s="328">
        <f t="shared" si="24"/>
        <v>0</v>
      </c>
      <c r="P44" s="335">
        <f t="shared" si="24"/>
        <v>35</v>
      </c>
      <c r="Q44" s="325">
        <f t="shared" si="24"/>
        <v>8</v>
      </c>
      <c r="R44" s="325">
        <f t="shared" si="24"/>
        <v>63</v>
      </c>
      <c r="S44" s="325">
        <f t="shared" si="24"/>
        <v>12</v>
      </c>
      <c r="T44" s="328">
        <f t="shared" si="24"/>
        <v>118</v>
      </c>
      <c r="U44" s="328"/>
      <c r="V44" s="331">
        <f t="shared" si="24"/>
        <v>118</v>
      </c>
      <c r="W44" s="335">
        <f>SUM(W13:W14)</f>
        <v>15</v>
      </c>
      <c r="X44" s="325">
        <f>SUM(X13:X14)</f>
        <v>0</v>
      </c>
      <c r="Y44" s="325">
        <f>SUM(Y13:Y14)</f>
        <v>0</v>
      </c>
      <c r="Z44" s="325">
        <f>SUM(Z13:Z14)</f>
        <v>0</v>
      </c>
      <c r="AA44" s="328">
        <f>SUM(AA13:AA14)</f>
        <v>15</v>
      </c>
      <c r="AB44" s="328"/>
      <c r="AC44" s="331">
        <f t="shared" ref="AC44:AJ44" si="25">SUM(AC13:AC14)</f>
        <v>15</v>
      </c>
      <c r="AD44" s="335">
        <f t="shared" si="25"/>
        <v>1402</v>
      </c>
      <c r="AE44" s="325">
        <f t="shared" si="25"/>
        <v>828</v>
      </c>
      <c r="AF44" s="325">
        <f t="shared" si="25"/>
        <v>4808</v>
      </c>
      <c r="AG44" s="325">
        <f t="shared" si="25"/>
        <v>1597</v>
      </c>
      <c r="AH44" s="328">
        <f t="shared" si="25"/>
        <v>8635</v>
      </c>
      <c r="AI44" s="328">
        <f t="shared" si="25"/>
        <v>2</v>
      </c>
      <c r="AJ44" s="328">
        <f t="shared" si="25"/>
        <v>8637</v>
      </c>
      <c r="AL44" s="401"/>
      <c r="AM44" s="401"/>
      <c r="AN44" s="401"/>
    </row>
    <row r="45" spans="1:40" ht="13.5" thickBot="1">
      <c r="A45" s="243" t="s">
        <v>130</v>
      </c>
      <c r="B45" s="336">
        <f t="shared" ref="B45:H45" si="26">SUM(B15:B39)</f>
        <v>30</v>
      </c>
      <c r="C45" s="326">
        <f t="shared" si="26"/>
        <v>50</v>
      </c>
      <c r="D45" s="326">
        <f t="shared" si="26"/>
        <v>265</v>
      </c>
      <c r="E45" s="326">
        <f t="shared" si="26"/>
        <v>402</v>
      </c>
      <c r="F45" s="329">
        <f t="shared" si="26"/>
        <v>747</v>
      </c>
      <c r="G45" s="329">
        <f t="shared" si="26"/>
        <v>3</v>
      </c>
      <c r="H45" s="329">
        <f t="shared" si="26"/>
        <v>750</v>
      </c>
      <c r="I45" s="336">
        <f t="shared" ref="I45:V45" si="27">SUM(I15:I39)</f>
        <v>0</v>
      </c>
      <c r="J45" s="326">
        <f t="shared" si="27"/>
        <v>0</v>
      </c>
      <c r="K45" s="326">
        <f t="shared" si="27"/>
        <v>0</v>
      </c>
      <c r="L45" s="326">
        <f t="shared" si="27"/>
        <v>0</v>
      </c>
      <c r="M45" s="329">
        <f t="shared" si="27"/>
        <v>0</v>
      </c>
      <c r="N45" s="329"/>
      <c r="O45" s="329">
        <f t="shared" si="27"/>
        <v>0</v>
      </c>
      <c r="P45" s="336">
        <f t="shared" si="27"/>
        <v>0</v>
      </c>
      <c r="Q45" s="326">
        <f t="shared" si="27"/>
        <v>0</v>
      </c>
      <c r="R45" s="326">
        <f t="shared" si="27"/>
        <v>1</v>
      </c>
      <c r="S45" s="326">
        <f t="shared" si="27"/>
        <v>0</v>
      </c>
      <c r="T45" s="329">
        <f t="shared" si="27"/>
        <v>1</v>
      </c>
      <c r="U45" s="329"/>
      <c r="V45" s="332">
        <f t="shared" si="27"/>
        <v>1</v>
      </c>
      <c r="W45" s="336">
        <f>SUM(W15:W39)</f>
        <v>5</v>
      </c>
      <c r="X45" s="326">
        <f>SUM(X15:X39)</f>
        <v>0</v>
      </c>
      <c r="Y45" s="326">
        <f>SUM(Y15:Y39)</f>
        <v>0</v>
      </c>
      <c r="Z45" s="326">
        <f>SUM(Z15:Z39)</f>
        <v>0</v>
      </c>
      <c r="AA45" s="329">
        <f>SUM(AA15:AA39)</f>
        <v>5</v>
      </c>
      <c r="AB45" s="329"/>
      <c r="AC45" s="332">
        <f t="shared" ref="AC45:AJ45" si="28">SUM(AC15:AC39)</f>
        <v>5</v>
      </c>
      <c r="AD45" s="336">
        <f t="shared" si="28"/>
        <v>35</v>
      </c>
      <c r="AE45" s="326">
        <f t="shared" si="28"/>
        <v>50</v>
      </c>
      <c r="AF45" s="326">
        <f t="shared" si="28"/>
        <v>266</v>
      </c>
      <c r="AG45" s="326">
        <f t="shared" si="28"/>
        <v>402</v>
      </c>
      <c r="AH45" s="329">
        <f t="shared" si="28"/>
        <v>753</v>
      </c>
      <c r="AI45" s="329">
        <f t="shared" si="28"/>
        <v>3</v>
      </c>
      <c r="AJ45" s="329">
        <f t="shared" si="28"/>
        <v>756</v>
      </c>
      <c r="AL45" s="401"/>
      <c r="AM45" s="401"/>
      <c r="AN45" s="401"/>
    </row>
    <row r="46" spans="1:40">
      <c r="A46" s="149"/>
      <c r="B46" s="324"/>
      <c r="C46" s="324"/>
      <c r="D46" s="324"/>
      <c r="E46" s="324"/>
      <c r="F46" s="324"/>
      <c r="G46" s="324"/>
      <c r="H46" s="324"/>
      <c r="I46" s="324"/>
      <c r="J46" s="324"/>
      <c r="K46" s="324"/>
      <c r="L46" s="324"/>
      <c r="M46" s="324"/>
      <c r="N46" s="324"/>
      <c r="O46" s="324"/>
      <c r="P46" s="324"/>
      <c r="Q46" s="324"/>
      <c r="R46" s="324"/>
      <c r="S46" s="324"/>
      <c r="T46" s="324"/>
      <c r="U46" s="324"/>
      <c r="V46" s="324"/>
      <c r="W46" s="324"/>
      <c r="X46" s="324"/>
      <c r="Y46" s="324"/>
      <c r="Z46" s="324"/>
      <c r="AA46" s="324"/>
      <c r="AB46" s="324"/>
      <c r="AC46" s="324"/>
      <c r="AD46" s="324"/>
      <c r="AE46" s="324"/>
      <c r="AF46" s="324"/>
      <c r="AG46" s="324"/>
      <c r="AH46" s="324"/>
      <c r="AI46" s="324"/>
      <c r="AJ46" s="327"/>
    </row>
    <row r="47" spans="1:40">
      <c r="A47" s="33" t="s">
        <v>376</v>
      </c>
      <c r="B47" s="325"/>
      <c r="C47" s="325"/>
      <c r="D47" s="325"/>
      <c r="E47" s="325"/>
      <c r="F47" s="325"/>
      <c r="G47" s="325"/>
      <c r="H47" s="325"/>
      <c r="I47" s="325"/>
      <c r="J47" s="325"/>
      <c r="K47" s="325"/>
      <c r="L47" s="325"/>
      <c r="M47" s="325"/>
      <c r="N47" s="325"/>
      <c r="O47" s="325"/>
      <c r="P47" s="325"/>
      <c r="Q47" s="325"/>
      <c r="R47" s="325"/>
      <c r="S47" s="325"/>
      <c r="T47" s="325"/>
      <c r="U47" s="325"/>
      <c r="V47" s="325"/>
      <c r="W47" s="325"/>
      <c r="X47" s="325"/>
      <c r="Y47" s="325"/>
      <c r="Z47" s="325"/>
      <c r="AA47" s="325"/>
      <c r="AB47" s="325"/>
      <c r="AC47" s="325"/>
      <c r="AD47" s="325"/>
      <c r="AE47" s="325"/>
      <c r="AF47" s="325"/>
      <c r="AG47" s="325"/>
      <c r="AH47" s="325"/>
      <c r="AI47" s="325"/>
      <c r="AJ47" s="328"/>
    </row>
    <row r="48" spans="1:40">
      <c r="A48" s="33"/>
      <c r="B48" s="576" t="s">
        <v>477</v>
      </c>
      <c r="C48" s="325"/>
      <c r="D48" s="325"/>
      <c r="E48" s="325"/>
      <c r="F48" s="325"/>
      <c r="G48" s="325"/>
      <c r="H48" s="325"/>
      <c r="I48" s="325"/>
      <c r="J48" s="325"/>
      <c r="K48" s="325"/>
      <c r="L48" s="325"/>
      <c r="M48" s="325"/>
      <c r="N48" s="325"/>
      <c r="O48" s="325"/>
      <c r="P48" s="325"/>
      <c r="Q48" s="325"/>
      <c r="R48" s="325"/>
      <c r="S48" s="325"/>
      <c r="T48" s="325"/>
      <c r="U48" s="325"/>
      <c r="V48" s="325"/>
      <c r="W48" s="325"/>
      <c r="X48" s="325"/>
      <c r="Y48" s="325"/>
      <c r="Z48" s="325"/>
      <c r="AA48" s="325"/>
      <c r="AB48" s="325"/>
      <c r="AC48" s="325"/>
      <c r="AD48" s="325"/>
      <c r="AE48" s="325"/>
      <c r="AF48" s="325"/>
      <c r="AG48" s="325"/>
      <c r="AH48" s="325"/>
      <c r="AI48" s="325"/>
      <c r="AJ48" s="328"/>
    </row>
    <row r="49" spans="1:36" ht="13.5" thickBot="1">
      <c r="A49" s="94"/>
      <c r="B49" s="597" t="s">
        <v>375</v>
      </c>
      <c r="C49" s="326"/>
      <c r="D49" s="326"/>
      <c r="E49" s="326"/>
      <c r="F49" s="326"/>
      <c r="G49" s="326"/>
      <c r="H49" s="326"/>
      <c r="I49" s="326"/>
      <c r="J49" s="326"/>
      <c r="K49" s="326"/>
      <c r="L49" s="326"/>
      <c r="M49" s="326"/>
      <c r="N49" s="326"/>
      <c r="O49" s="326"/>
      <c r="P49" s="326"/>
      <c r="Q49" s="326"/>
      <c r="R49" s="326"/>
      <c r="S49" s="326"/>
      <c r="T49" s="326"/>
      <c r="U49" s="326"/>
      <c r="V49" s="326"/>
      <c r="W49" s="326"/>
      <c r="X49" s="326"/>
      <c r="Y49" s="326"/>
      <c r="Z49" s="326"/>
      <c r="AA49" s="326"/>
      <c r="AB49" s="326"/>
      <c r="AC49" s="326"/>
      <c r="AD49" s="326"/>
      <c r="AE49" s="326"/>
      <c r="AF49" s="326"/>
      <c r="AG49" s="326"/>
      <c r="AH49" s="326"/>
      <c r="AI49" s="326"/>
      <c r="AJ49" s="329"/>
    </row>
    <row r="50" spans="1:36">
      <c r="B50" s="242"/>
      <c r="C50" s="242"/>
      <c r="D50" s="242"/>
      <c r="E50" s="242"/>
      <c r="F50" s="242"/>
      <c r="G50" s="242"/>
      <c r="H50" s="242"/>
    </row>
    <row r="51" spans="1:36">
      <c r="A51" s="340" t="s">
        <v>102</v>
      </c>
      <c r="B51" s="18">
        <f t="shared" ref="B51:H51" si="29">SUM(B42:B45)-B41</f>
        <v>0</v>
      </c>
      <c r="C51" s="18">
        <f t="shared" si="29"/>
        <v>0</v>
      </c>
      <c r="D51" s="18">
        <f t="shared" si="29"/>
        <v>0</v>
      </c>
      <c r="E51" s="18">
        <f t="shared" si="29"/>
        <v>0</v>
      </c>
      <c r="F51" s="18">
        <f t="shared" si="29"/>
        <v>0</v>
      </c>
      <c r="G51" s="18">
        <f t="shared" si="29"/>
        <v>0</v>
      </c>
      <c r="H51" s="18">
        <f t="shared" si="29"/>
        <v>0</v>
      </c>
      <c r="I51" s="18">
        <f t="shared" ref="I51:AJ51" si="30">SUM(I42:I45)-I41</f>
        <v>0</v>
      </c>
      <c r="J51" s="18">
        <f t="shared" si="30"/>
        <v>0</v>
      </c>
      <c r="K51" s="18">
        <f t="shared" si="30"/>
        <v>0</v>
      </c>
      <c r="L51" s="18">
        <f t="shared" si="30"/>
        <v>0</v>
      </c>
      <c r="M51" s="18">
        <f t="shared" si="30"/>
        <v>0</v>
      </c>
      <c r="N51" s="18">
        <f t="shared" si="30"/>
        <v>0</v>
      </c>
      <c r="O51" s="18">
        <f t="shared" si="30"/>
        <v>0</v>
      </c>
      <c r="P51" s="18">
        <f t="shared" si="30"/>
        <v>0</v>
      </c>
      <c r="Q51" s="18">
        <f t="shared" si="30"/>
        <v>0</v>
      </c>
      <c r="R51" s="18">
        <f t="shared" si="30"/>
        <v>0</v>
      </c>
      <c r="S51" s="18">
        <f t="shared" si="30"/>
        <v>0</v>
      </c>
      <c r="T51" s="18">
        <f t="shared" si="30"/>
        <v>0</v>
      </c>
      <c r="U51" s="18">
        <f t="shared" si="30"/>
        <v>0</v>
      </c>
      <c r="V51" s="18">
        <f t="shared" si="30"/>
        <v>0</v>
      </c>
      <c r="W51" s="18">
        <f t="shared" ref="W51:AC51" si="31">SUM(W42:W45)-W41</f>
        <v>0</v>
      </c>
      <c r="X51" s="18">
        <f t="shared" si="31"/>
        <v>0</v>
      </c>
      <c r="Y51" s="18">
        <f t="shared" si="31"/>
        <v>0</v>
      </c>
      <c r="Z51" s="18">
        <f t="shared" si="31"/>
        <v>0</v>
      </c>
      <c r="AA51" s="18">
        <f t="shared" si="31"/>
        <v>0</v>
      </c>
      <c r="AB51" s="18">
        <f t="shared" si="31"/>
        <v>0</v>
      </c>
      <c r="AC51" s="18">
        <f t="shared" si="31"/>
        <v>0</v>
      </c>
      <c r="AD51" s="18">
        <f t="shared" si="30"/>
        <v>0</v>
      </c>
      <c r="AE51" s="18">
        <f t="shared" si="30"/>
        <v>0</v>
      </c>
      <c r="AF51" s="18">
        <f t="shared" si="30"/>
        <v>0</v>
      </c>
      <c r="AG51" s="18">
        <f t="shared" si="30"/>
        <v>0</v>
      </c>
      <c r="AH51" s="18">
        <f t="shared" si="30"/>
        <v>0</v>
      </c>
      <c r="AI51" s="18">
        <f t="shared" si="30"/>
        <v>0</v>
      </c>
      <c r="AJ51" s="18">
        <f t="shared" si="30"/>
        <v>0</v>
      </c>
    </row>
  </sheetData>
  <mergeCells count="11">
    <mergeCell ref="I3:M3"/>
    <mergeCell ref="P3:T3"/>
    <mergeCell ref="AD3:AH3"/>
    <mergeCell ref="A1:AJ1"/>
    <mergeCell ref="I2:O2"/>
    <mergeCell ref="P2:V2"/>
    <mergeCell ref="AD2:AJ2"/>
    <mergeCell ref="W3:AA3"/>
    <mergeCell ref="W2:AC2"/>
    <mergeCell ref="B2:H2"/>
    <mergeCell ref="B3:F3"/>
  </mergeCells>
  <phoneticPr fontId="0" type="noConversion"/>
  <printOptions horizontalCentered="1"/>
  <pageMargins left="0.75" right="0.75" top="1" bottom="1" header="0.5" footer="0.5"/>
  <pageSetup scale="42" orientation="portrait" r:id="rId1"/>
  <headerFooter alignWithMargins="0">
    <oddFooter>&amp;L&amp;F
&amp;A&amp;R&amp;P of &amp;N</oddFooter>
  </headerFooter>
  <colBreaks count="1" manualBreakCount="1">
    <brk id="15" max="46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74">
    <tabColor rgb="FF00642D"/>
    <pageSetUpPr fitToPage="1"/>
  </sheetPr>
  <dimension ref="A1:P58"/>
  <sheetViews>
    <sheetView zoomScaleNormal="100" workbookViewId="0">
      <selection activeCell="A27" sqref="A27"/>
    </sheetView>
  </sheetViews>
  <sheetFormatPr defaultRowHeight="12.75"/>
  <cols>
    <col min="1" max="1" width="41.140625" customWidth="1"/>
    <col min="2" max="11" width="11.140625" customWidth="1"/>
    <col min="12" max="15" width="10.28515625" bestFit="1" customWidth="1"/>
    <col min="16" max="16" width="9.140625" bestFit="1" customWidth="1"/>
  </cols>
  <sheetData>
    <row r="1" spans="1:16" ht="18.75" thickBot="1">
      <c r="A1" s="826" t="s">
        <v>249</v>
      </c>
      <c r="B1" s="826"/>
      <c r="C1" s="826"/>
      <c r="D1" s="826"/>
      <c r="E1" s="826"/>
      <c r="F1" s="826"/>
      <c r="G1" s="826"/>
      <c r="H1" s="826"/>
      <c r="I1" s="826"/>
      <c r="J1" s="826"/>
      <c r="K1" s="826"/>
      <c r="L1" s="826"/>
      <c r="M1" s="826"/>
      <c r="N1" s="826"/>
      <c r="O1" s="826"/>
      <c r="P1" s="826"/>
    </row>
    <row r="2" spans="1:16" ht="13.5" thickBot="1">
      <c r="A2" s="131"/>
      <c r="B2" s="828" t="s">
        <v>0</v>
      </c>
      <c r="C2" s="828"/>
      <c r="D2" s="828"/>
      <c r="E2" s="828"/>
      <c r="F2" s="828"/>
      <c r="G2" s="827" t="s">
        <v>1</v>
      </c>
      <c r="H2" s="828"/>
      <c r="I2" s="828"/>
      <c r="J2" s="828"/>
      <c r="K2" s="829"/>
      <c r="L2" s="827" t="s">
        <v>250</v>
      </c>
      <c r="M2" s="828"/>
      <c r="N2" s="828"/>
      <c r="O2" s="828"/>
      <c r="P2" s="829"/>
    </row>
    <row r="3" spans="1:16" ht="13.5" thickBot="1">
      <c r="A3" s="102" t="s">
        <v>47</v>
      </c>
      <c r="B3" s="617" t="s">
        <v>103</v>
      </c>
      <c r="C3" s="487" t="s">
        <v>128</v>
      </c>
      <c r="D3" s="487" t="s">
        <v>129</v>
      </c>
      <c r="E3" s="487" t="s">
        <v>130</v>
      </c>
      <c r="F3" s="617" t="s">
        <v>167</v>
      </c>
      <c r="G3" s="483" t="s">
        <v>103</v>
      </c>
      <c r="H3" s="484" t="s">
        <v>128</v>
      </c>
      <c r="I3" s="484" t="s">
        <v>129</v>
      </c>
      <c r="J3" s="484" t="s">
        <v>130</v>
      </c>
      <c r="K3" s="485" t="s">
        <v>168</v>
      </c>
      <c r="L3" s="483" t="s">
        <v>103</v>
      </c>
      <c r="M3" s="484" t="s">
        <v>128</v>
      </c>
      <c r="N3" s="484" t="s">
        <v>129</v>
      </c>
      <c r="O3" s="484" t="s">
        <v>130</v>
      </c>
      <c r="P3" s="485" t="s">
        <v>2</v>
      </c>
    </row>
    <row r="4" spans="1:16">
      <c r="A4" s="621"/>
      <c r="B4" s="39"/>
      <c r="C4" s="176"/>
      <c r="D4" s="176"/>
      <c r="E4" s="176"/>
      <c r="F4" s="176"/>
      <c r="G4" s="39"/>
      <c r="H4" s="176"/>
      <c r="I4" s="176"/>
      <c r="J4" s="176"/>
      <c r="K4" s="373"/>
      <c r="L4" s="39"/>
      <c r="M4" s="176"/>
      <c r="N4" s="176"/>
      <c r="O4" s="176"/>
      <c r="P4" s="373"/>
    </row>
    <row r="5" spans="1:16">
      <c r="A5" s="145"/>
      <c r="B5" s="40"/>
      <c r="C5" s="84"/>
      <c r="D5" s="84"/>
      <c r="E5" s="84"/>
      <c r="F5" s="84"/>
      <c r="G5" s="40"/>
      <c r="H5" s="84"/>
      <c r="I5" s="84"/>
      <c r="J5" s="84"/>
      <c r="K5" s="161"/>
      <c r="L5" s="40"/>
      <c r="M5" s="84"/>
      <c r="N5" s="84"/>
      <c r="O5" s="84"/>
      <c r="P5" s="161"/>
    </row>
    <row r="6" spans="1:16">
      <c r="A6" s="145" t="s">
        <v>49</v>
      </c>
      <c r="B6" s="40"/>
      <c r="C6" s="84"/>
      <c r="D6" s="84"/>
      <c r="E6" s="84"/>
      <c r="F6" s="84"/>
      <c r="G6" s="40"/>
      <c r="H6" s="84"/>
      <c r="I6" s="84"/>
      <c r="J6" s="84"/>
      <c r="K6" s="161"/>
      <c r="L6" s="40"/>
      <c r="M6" s="84"/>
      <c r="N6" s="84"/>
      <c r="O6" s="84"/>
      <c r="P6" s="161"/>
    </row>
    <row r="7" spans="1:16">
      <c r="A7" s="517"/>
      <c r="B7" s="41"/>
      <c r="C7" s="724"/>
      <c r="D7" s="85"/>
      <c r="E7" s="85"/>
      <c r="F7" s="85"/>
      <c r="G7" s="41"/>
      <c r="H7" s="85"/>
      <c r="I7" s="85"/>
      <c r="J7" s="85"/>
      <c r="K7" s="162"/>
      <c r="L7" s="41"/>
      <c r="M7" s="85"/>
      <c r="N7" s="85"/>
      <c r="O7" s="85"/>
      <c r="P7" s="162"/>
    </row>
    <row r="8" spans="1:16">
      <c r="A8" s="145" t="s">
        <v>53</v>
      </c>
      <c r="B8" s="139">
        <f>('Sch TOU-A TSM Summary'!B9*'Sm Comm Cust Fcst'!$F$42+'Sch A-TC TSM Summary'!B9*'Sm Comm Cust Fcst'!$M$42+'Sch A-TOU TSM Summary'!B9*'Sm Comm Cust Fcst'!$T$42+'Sch UM TSM Summary'!B9*'Sm Comm Cust Fcst'!$AA$42)/'Sm Comm Cust Fcst'!$AH$42</f>
        <v>520.6226467754866</v>
      </c>
      <c r="C8" s="37">
        <f>('Sch TOU-A TSM Summary'!C9*'Sm Comm Cust Fcst'!$F$43+'Sch A-TC TSM Summary'!C9*'Sm Comm Cust Fcst'!$M$43+'Sch A-TOU TSM Summary'!C9*'Sm Comm Cust Fcst'!$T$43+'Sch UM TSM Summary'!C9*'Sm Comm Cust Fcst'!$AA$43)/'Sm Comm Cust Fcst'!$AH$43</f>
        <v>2253.4852837860485</v>
      </c>
      <c r="D8" s="37">
        <f>('Sch TOU-A TSM Summary'!D9*'Sm Comm Cust Fcst'!$F$44+'Sch A-TC TSM Summary'!D9*'Sm Comm Cust Fcst'!$M$44+'Sch A-TOU TSM Summary'!D9*'Sm Comm Cust Fcst'!$T$44+'Sch UM TSM Summary'!D9*'Sm Comm Cust Fcst'!$AA$44)/'Sm Comm Cust Fcst'!$AH$44</f>
        <v>7795.1632687244719</v>
      </c>
      <c r="E8" s="37">
        <f>('Sch TOU-A TSM Summary'!E9*'Sm Comm Cust Fcst'!$F$45+'Sch A-TC TSM Summary'!E9*'Sm Comm Cust Fcst'!$M$45+'Sch A-TOU TSM Summary'!E9*'Sm Comm Cust Fcst'!$T$45+'Sch UM TSM Summary'!E9*'Sm Comm Cust Fcst'!$AA$45)/'Sm Comm Cust Fcst'!$AH$45</f>
        <v>11873.114295960251</v>
      </c>
      <c r="F8" s="37">
        <f>('Sch TOU-A TSM Summary'!F9*'Sm Comm Cust Fcst'!$F$41+'Sch A-TC TSM Summary'!F9*'Sm Comm Cust Fcst'!$M$41+'Sch A-TOU TSM Summary'!F9*'Sm Comm Cust Fcst'!$T$41+'Sch UM TSM Summary'!F9*'Sm Comm Cust Fcst'!$AA$41)/'Sm Comm Cust Fcst'!$AH$41</f>
        <v>1917.994157868761</v>
      </c>
      <c r="G8" s="139">
        <f>('Sch TOU-A TSM Summary'!G9*'Sm Comm Cust Fcst'!$G$42+'Sch A-TC TSM Summary'!G9*'Sm Comm Cust Fcst'!$N$42+'Sch A-TOU TSM Summary'!G9*'Sm Comm Cust Fcst'!$U$42+'Sch UM TSM Summary'!G9*'Sm Comm Cust Fcst'!$AB$42)/'Sm Comm Cust Fcst'!$AI$42</f>
        <v>0</v>
      </c>
      <c r="H8" s="37">
        <f>('Sch TOU-A TSM Summary'!H9*'Sm Comm Cust Fcst'!$G$43+'Sch A-TC TSM Summary'!H9*'Sm Comm Cust Fcst'!$N$43+'Sch A-TOU TSM Summary'!H9*'Sm Comm Cust Fcst'!$U$43+'Sch UM TSM Summary'!H9*'Sm Comm Cust Fcst'!$AB$43)/'Sm Comm Cust Fcst'!$AI$43</f>
        <v>0</v>
      </c>
      <c r="I8" s="37">
        <f>('Sch TOU-A TSM Summary'!I9*'Sm Comm Cust Fcst'!$G$44+'Sch A-TC TSM Summary'!I9*'Sm Comm Cust Fcst'!$N$44+'Sch A-TOU TSM Summary'!I9*'Sm Comm Cust Fcst'!$U$44+'Sch UM TSM Summary'!I9*'Sm Comm Cust Fcst'!$AB$44)/'Sm Comm Cust Fcst'!$AI$44</f>
        <v>0</v>
      </c>
      <c r="J8" s="37">
        <f>('Sch TOU-A TSM Summary'!J9*'Sm Comm Cust Fcst'!$G$45+'Sch A-TC TSM Summary'!J9*'Sm Comm Cust Fcst'!$N$45+'Sch A-TOU TSM Summary'!J9*'Sm Comm Cust Fcst'!$U$45+'Sch UM TSM Summary'!J9*'Sm Comm Cust Fcst'!$AB$45)/'Sm Comm Cust Fcst'!$AI$45</f>
        <v>0</v>
      </c>
      <c r="K8" s="38">
        <f>('Sch TOU-A TSM Summary'!K9*'Sm Comm Cust Fcst'!$G$41+'Sch A-TC TSM Summary'!K9*'Sm Comm Cust Fcst'!$N$41+'Sch A-TOU TSM Summary'!K9*'Sm Comm Cust Fcst'!$U$41+'Sch UM TSM Summary'!K9*'Sm Comm Cust Fcst'!$AB$41)/'Sm Comm Cust Fcst'!$AI$41</f>
        <v>0</v>
      </c>
      <c r="L8" s="139">
        <f>('Sch TOU-A TSM Summary'!L9*'Sm Comm Cust Fcst'!$H$42+'Sch A-TC TSM Summary'!L9*'Sm Comm Cust Fcst'!$O$42+'Sch A-TOU TSM Summary'!L9*'Sm Comm Cust Fcst'!$V$42+'Sch UM TSM Summary'!L9*'Sm Comm Cust Fcst'!$AC$42)/'Sm Comm Cust Fcst'!$AJ$42</f>
        <v>520.56816934471135</v>
      </c>
      <c r="M8" s="37">
        <f>('Sch TOU-A TSM Summary'!M9*'Sm Comm Cust Fcst'!$H$43+'Sch A-TC TSM Summary'!M9*'Sm Comm Cust Fcst'!$O$43+'Sch A-TOU TSM Summary'!M9*'Sm Comm Cust Fcst'!$V$43+'Sch UM TSM Summary'!M9*'Sm Comm Cust Fcst'!$AC$43)/'Sm Comm Cust Fcst'!$AJ$43</f>
        <v>2253.1742246373533</v>
      </c>
      <c r="N8" s="37">
        <f>('Sch TOU-A TSM Summary'!N9*'Sm Comm Cust Fcst'!$H$44+'Sch A-TC TSM Summary'!N9*'Sm Comm Cust Fcst'!$O$44+'Sch A-TOU TSM Summary'!N9*'Sm Comm Cust Fcst'!$V$44+'Sch UM TSM Summary'!N9*'Sm Comm Cust Fcst'!$AC$44)/'Sm Comm Cust Fcst'!$AJ$44</f>
        <v>7793.3582060247563</v>
      </c>
      <c r="O8" s="37">
        <f>('Sch TOU-A TSM Summary'!O9*'Sm Comm Cust Fcst'!$H$45+'Sch A-TC TSM Summary'!O9*'Sm Comm Cust Fcst'!$O$45+'Sch A-TOU TSM Summary'!O9*'Sm Comm Cust Fcst'!$V$45+'Sch UM TSM Summary'!O9*'Sm Comm Cust Fcst'!$AC$45)/'Sm Comm Cust Fcst'!$AJ$45</f>
        <v>11825.998763039775</v>
      </c>
      <c r="P8" s="38">
        <f>('Sch TOU-A TSM Summary'!P9*'Sm Comm Cust Fcst'!$H$41+'Sch A-TC TSM Summary'!P9*'Sm Comm Cust Fcst'!$O$41+'Sch A-TOU TSM Summary'!P9*'Sm Comm Cust Fcst'!$V$41+'Sch UM TSM Summary'!P9*'Sm Comm Cust Fcst'!$AC$41)/'Sm Comm Cust Fcst'!$AJ$41</f>
        <v>1917.7034073180509</v>
      </c>
    </row>
    <row r="9" spans="1:16">
      <c r="A9" s="145" t="s">
        <v>51</v>
      </c>
      <c r="B9" s="139">
        <f>('Sch TOU-A TSM Summary'!B10*'Sm Comm Cust Fcst'!$F$42+'Sch A-TC TSM Summary'!B10*'Sm Comm Cust Fcst'!$M$42+'Sch A-TOU TSM Summary'!B10*'Sm Comm Cust Fcst'!$T$42+'Sch UM TSM Summary'!B10*'Sm Comm Cust Fcst'!$AA$42)/'Sm Comm Cust Fcst'!$AH$42</f>
        <v>279.89744772152039</v>
      </c>
      <c r="C9" s="37">
        <f>('Sch TOU-A TSM Summary'!C10*'Sm Comm Cust Fcst'!$F$43+'Sch A-TC TSM Summary'!C10*'Sm Comm Cust Fcst'!$M$43+'Sch A-TOU TSM Summary'!C10*'Sm Comm Cust Fcst'!$T$43+'Sch UM TSM Summary'!C10*'Sm Comm Cust Fcst'!$AA$43)/'Sm Comm Cust Fcst'!$AH$43</f>
        <v>525.62569216154577</v>
      </c>
      <c r="D9" s="37">
        <f>('Sch TOU-A TSM Summary'!D10*'Sm Comm Cust Fcst'!$F$44+'Sch A-TC TSM Summary'!D10*'Sm Comm Cust Fcst'!$M$44+'Sch A-TOU TSM Summary'!D10*'Sm Comm Cust Fcst'!$T$44+'Sch UM TSM Summary'!D10*'Sm Comm Cust Fcst'!$AA$44)/'Sm Comm Cust Fcst'!$AH$44</f>
        <v>736.70070570307746</v>
      </c>
      <c r="E9" s="37">
        <f>('Sch TOU-A TSM Summary'!E10*'Sm Comm Cust Fcst'!$F$45+'Sch A-TC TSM Summary'!E10*'Sm Comm Cust Fcst'!$M$45+'Sch A-TOU TSM Summary'!E10*'Sm Comm Cust Fcst'!$T$45+'Sch UM TSM Summary'!E10*'Sm Comm Cust Fcst'!$AA$45)/'Sm Comm Cust Fcst'!$AH$45</f>
        <v>1551.4756556732589</v>
      </c>
      <c r="F9" s="37">
        <f>('Sch TOU-A TSM Summary'!F10*'Sm Comm Cust Fcst'!$F$41+'Sch A-TC TSM Summary'!F10*'Sm Comm Cust Fcst'!$M$41+'Sch A-TOU TSM Summary'!F10*'Sm Comm Cust Fcst'!$T$41+'Sch UM TSM Summary'!F10*'Sm Comm Cust Fcst'!$AA$41)/'Sm Comm Cust Fcst'!$AH$41</f>
        <v>438.49706743430704</v>
      </c>
      <c r="G9" s="139">
        <f>('Sch TOU-A TSM Summary'!G10*'Sm Comm Cust Fcst'!$G$42+'Sch A-TC TSM Summary'!G10*'Sm Comm Cust Fcst'!$N$42+'Sch A-TOU TSM Summary'!G10*'Sm Comm Cust Fcst'!$U$42+'Sch UM TSM Summary'!G10*'Sm Comm Cust Fcst'!$AB$42)/'Sm Comm Cust Fcst'!$AI$42</f>
        <v>3129.9273129422195</v>
      </c>
      <c r="H9" s="37">
        <f>('Sch TOU-A TSM Summary'!H10*'Sm Comm Cust Fcst'!$G$43+'Sch A-TC TSM Summary'!H10*'Sm Comm Cust Fcst'!$N$43+'Sch A-TOU TSM Summary'!H10*'Sm Comm Cust Fcst'!$U$43+'Sch UM TSM Summary'!H10*'Sm Comm Cust Fcst'!$AB$43)/'Sm Comm Cust Fcst'!$AI$43</f>
        <v>3129.9273129422195</v>
      </c>
      <c r="I9" s="37">
        <f>('Sch TOU-A TSM Summary'!I10*'Sm Comm Cust Fcst'!$G$44+'Sch A-TC TSM Summary'!I10*'Sm Comm Cust Fcst'!$N$44+'Sch A-TOU TSM Summary'!I10*'Sm Comm Cust Fcst'!$U$44+'Sch UM TSM Summary'!I10*'Sm Comm Cust Fcst'!$AB$44)/'Sm Comm Cust Fcst'!$AI$44</f>
        <v>3129.9273129422195</v>
      </c>
      <c r="J9" s="37">
        <f>('Sch TOU-A TSM Summary'!J10*'Sm Comm Cust Fcst'!$G$45+'Sch A-TC TSM Summary'!J10*'Sm Comm Cust Fcst'!$N$45+'Sch A-TOU TSM Summary'!J10*'Sm Comm Cust Fcst'!$U$45+'Sch UM TSM Summary'!J10*'Sm Comm Cust Fcst'!$AB$45)/'Sm Comm Cust Fcst'!$AI$45</f>
        <v>4677.5944038281241</v>
      </c>
      <c r="K9" s="38">
        <f>('Sch TOU-A TSM Summary'!K10*'Sm Comm Cust Fcst'!$G$41+'Sch A-TC TSM Summary'!K10*'Sm Comm Cust Fcst'!$N$41+'Sch A-TOU TSM Summary'!K10*'Sm Comm Cust Fcst'!$U$41+'Sch UM TSM Summary'!K10*'Sm Comm Cust Fcst'!$AB$41)/'Sm Comm Cust Fcst'!$AI$41</f>
        <v>3362.0773765751051</v>
      </c>
      <c r="L9" s="139">
        <f>('Sch TOU-A TSM Summary'!L10*'Sm Comm Cust Fcst'!$H$42+'Sch A-TC TSM Summary'!L10*'Sm Comm Cust Fcst'!$O$42+'Sch A-TOU TSM Summary'!L10*'Sm Comm Cust Fcst'!$V$42+'Sch UM TSM Summary'!L10*'Sm Comm Cust Fcst'!$AC$42)/'Sm Comm Cust Fcst'!$AJ$42</f>
        <v>280.19567198366417</v>
      </c>
      <c r="M9" s="37">
        <f>('Sch TOU-A TSM Summary'!M10*'Sm Comm Cust Fcst'!$H$43+'Sch A-TC TSM Summary'!M10*'Sm Comm Cust Fcst'!$O$43+'Sch A-TOU TSM Summary'!M10*'Sm Comm Cust Fcst'!$V$43+'Sch UM TSM Summary'!M10*'Sm Comm Cust Fcst'!$AC$43)/'Sm Comm Cust Fcst'!$AJ$43</f>
        <v>525.98517613551894</v>
      </c>
      <c r="N9" s="37">
        <f>('Sch TOU-A TSM Summary'!N10*'Sm Comm Cust Fcst'!$H$44+'Sch A-TC TSM Summary'!N10*'Sm Comm Cust Fcst'!$O$44+'Sch A-TOU TSM Summary'!N10*'Sm Comm Cust Fcst'!$V$44+'Sch UM TSM Summary'!N10*'Sm Comm Cust Fcst'!$AC$44)/'Sm Comm Cust Fcst'!$AJ$44</f>
        <v>737.25488576727548</v>
      </c>
      <c r="O9" s="37">
        <f>('Sch TOU-A TSM Summary'!O10*'Sm Comm Cust Fcst'!$H$45+'Sch A-TC TSM Summary'!O10*'Sm Comm Cust Fcst'!$O$45+'Sch A-TOU TSM Summary'!O10*'Sm Comm Cust Fcst'!$V$45+'Sch UM TSM Summary'!O10*'Sm Comm Cust Fcst'!$AC$45)/'Sm Comm Cust Fcst'!$AJ$45</f>
        <v>1563.8808888008575</v>
      </c>
      <c r="P9" s="38">
        <f>('Sch TOU-A TSM Summary'!P10*'Sm Comm Cust Fcst'!$H$41+'Sch A-TC TSM Summary'!P10*'Sm Comm Cust Fcst'!$O$41+'Sch A-TOU TSM Summary'!P10*'Sm Comm Cust Fcst'!$V$41+'Sch UM TSM Summary'!P10*'Sm Comm Cust Fcst'!$AC$41)/'Sm Comm Cust Fcst'!$AJ$41</f>
        <v>438.94025574196701</v>
      </c>
    </row>
    <row r="10" spans="1:16">
      <c r="A10" s="145" t="s">
        <v>52</v>
      </c>
      <c r="B10" s="139">
        <f>('Sch TOU-A TSM Summary'!B11*'Sm Comm Cust Fcst'!$F$42+'Sch A-TC TSM Summary'!B11*'Sm Comm Cust Fcst'!$M$42+'Sch A-TOU TSM Summary'!B11*'Sm Comm Cust Fcst'!$T$42+'Sch UM TSM Summary'!B11*'Sm Comm Cust Fcst'!$AA$42)/'Sm Comm Cust Fcst'!$AH$42</f>
        <v>256.98068256660656</v>
      </c>
      <c r="C10" s="37">
        <f>('Sch TOU-A TSM Summary'!C11*'Sm Comm Cust Fcst'!$F$43+'Sch A-TC TSM Summary'!C11*'Sm Comm Cust Fcst'!$M$43+'Sch A-TOU TSM Summary'!C11*'Sm Comm Cust Fcst'!$T$43+'Sch UM TSM Summary'!C11*'Sm Comm Cust Fcst'!$AA$43)/'Sm Comm Cust Fcst'!$AH$43</f>
        <v>281.04842849704175</v>
      </c>
      <c r="D10" s="37">
        <f>('Sch TOU-A TSM Summary'!D11*'Sm Comm Cust Fcst'!$F$44+'Sch A-TC TSM Summary'!D11*'Sm Comm Cust Fcst'!$M$44+'Sch A-TOU TSM Summary'!D11*'Sm Comm Cust Fcst'!$T$44+'Sch UM TSM Summary'!D11*'Sm Comm Cust Fcst'!$AA$44)/'Sm Comm Cust Fcst'!$AH$44</f>
        <v>290.40290858748659</v>
      </c>
      <c r="E10" s="37">
        <f>('Sch TOU-A TSM Summary'!E11*'Sm Comm Cust Fcst'!$F$45+'Sch A-TC TSM Summary'!E11*'Sm Comm Cust Fcst'!$M$45+'Sch A-TOU TSM Summary'!E11*'Sm Comm Cust Fcst'!$T$45+'Sch UM TSM Summary'!E11*'Sm Comm Cust Fcst'!$AA$45)/'Sm Comm Cust Fcst'!$AH$45</f>
        <v>416.89397133228351</v>
      </c>
      <c r="F10" s="37">
        <f>('Sch TOU-A TSM Summary'!F11*'Sm Comm Cust Fcst'!$F$41+'Sch A-TC TSM Summary'!F11*'Sm Comm Cust Fcst'!$M$41+'Sch A-TOU TSM Summary'!F11*'Sm Comm Cust Fcst'!$T$41+'Sch UM TSM Summary'!F11*'Sm Comm Cust Fcst'!$AA$41)/'Sm Comm Cust Fcst'!$AH$41</f>
        <v>271.97560441590065</v>
      </c>
      <c r="G10" s="139">
        <f>('Sch TOU-A TSM Summary'!G11*'Sm Comm Cust Fcst'!$G$42+'Sch A-TC TSM Summary'!G11*'Sm Comm Cust Fcst'!$N$42+'Sch A-TOU TSM Summary'!G11*'Sm Comm Cust Fcst'!$U$42+'Sch UM TSM Summary'!G11*'Sm Comm Cust Fcst'!$AB$42)/'Sm Comm Cust Fcst'!$AI$42</f>
        <v>865.67585029149416</v>
      </c>
      <c r="H10" s="37">
        <f>('Sch TOU-A TSM Summary'!H11*'Sm Comm Cust Fcst'!$G$43+'Sch A-TC TSM Summary'!H11*'Sm Comm Cust Fcst'!$N$43+'Sch A-TOU TSM Summary'!H11*'Sm Comm Cust Fcst'!$U$43+'Sch UM TSM Summary'!H11*'Sm Comm Cust Fcst'!$AB$43)/'Sm Comm Cust Fcst'!$AI$43</f>
        <v>865.67585029149416</v>
      </c>
      <c r="I10" s="37">
        <f>('Sch TOU-A TSM Summary'!I11*'Sm Comm Cust Fcst'!$G$44+'Sch A-TC TSM Summary'!I11*'Sm Comm Cust Fcst'!$N$44+'Sch A-TOU TSM Summary'!I11*'Sm Comm Cust Fcst'!$U$44+'Sch UM TSM Summary'!I11*'Sm Comm Cust Fcst'!$AB$44)/'Sm Comm Cust Fcst'!$AI$44</f>
        <v>865.67585029149416</v>
      </c>
      <c r="J10" s="37">
        <f>('Sch TOU-A TSM Summary'!J11*'Sm Comm Cust Fcst'!$G$45+'Sch A-TC TSM Summary'!J11*'Sm Comm Cust Fcst'!$N$45+'Sch A-TOU TSM Summary'!J11*'Sm Comm Cust Fcst'!$U$45+'Sch UM TSM Summary'!J11*'Sm Comm Cust Fcst'!$AB$45)/'Sm Comm Cust Fcst'!$AI$45</f>
        <v>933.77304233223413</v>
      </c>
      <c r="K10" s="38">
        <f>('Sch TOU-A TSM Summary'!K11*'Sm Comm Cust Fcst'!$G$41+'Sch A-TC TSM Summary'!K11*'Sm Comm Cust Fcst'!$N$41+'Sch A-TOU TSM Summary'!K11*'Sm Comm Cust Fcst'!$U$41+'Sch UM TSM Summary'!K11*'Sm Comm Cust Fcst'!$AB$41)/'Sm Comm Cust Fcst'!$AI$41</f>
        <v>875.89042909760519</v>
      </c>
      <c r="L10" s="139">
        <f>('Sch TOU-A TSM Summary'!L11*'Sm Comm Cust Fcst'!$H$42+'Sch A-TC TSM Summary'!L11*'Sm Comm Cust Fcst'!$O$42+'Sch A-TOU TSM Summary'!L11*'Sm Comm Cust Fcst'!$V$42+'Sch UM TSM Summary'!L11*'Sm Comm Cust Fcst'!$AC$42)/'Sm Comm Cust Fcst'!$AJ$42</f>
        <v>257.04437581750216</v>
      </c>
      <c r="M10" s="37">
        <f>('Sch TOU-A TSM Summary'!M11*'Sm Comm Cust Fcst'!$H$43+'Sch A-TC TSM Summary'!M11*'Sm Comm Cust Fcst'!$O$43+'Sch A-TOU TSM Summary'!M11*'Sm Comm Cust Fcst'!$V$43+'Sch UM TSM Summary'!M11*'Sm Comm Cust Fcst'!$AC$43)/'Sm Comm Cust Fcst'!$AJ$43</f>
        <v>281.12912736356452</v>
      </c>
      <c r="N10" s="37">
        <f>('Sch TOU-A TSM Summary'!N11*'Sm Comm Cust Fcst'!$H$44+'Sch A-TC TSM Summary'!N11*'Sm Comm Cust Fcst'!$O$44+'Sch A-TOU TSM Summary'!N11*'Sm Comm Cust Fcst'!$V$44+'Sch UM TSM Summary'!N11*'Sm Comm Cust Fcst'!$AC$44)/'Sm Comm Cust Fcst'!$AJ$44</f>
        <v>290.53611987420737</v>
      </c>
      <c r="O10" s="37">
        <f>('Sch TOU-A TSM Summary'!O11*'Sm Comm Cust Fcst'!$H$45+'Sch A-TC TSM Summary'!O11*'Sm Comm Cust Fcst'!$O$45+'Sch A-TOU TSM Summary'!O11*'Sm Comm Cust Fcst'!$V$45+'Sch UM TSM Summary'!O11*'Sm Comm Cust Fcst'!$AC$45)/'Sm Comm Cust Fcst'!$AJ$45</f>
        <v>418.94507875688646</v>
      </c>
      <c r="P10" s="38">
        <f>('Sch TOU-A TSM Summary'!P11*'Sm Comm Cust Fcst'!$H$41+'Sch A-TC TSM Summary'!P11*'Sm Comm Cust Fcst'!$O$41+'Sch A-TOU TSM Summary'!P11*'Sm Comm Cust Fcst'!$V$41+'Sch UM TSM Summary'!P11*'Sm Comm Cust Fcst'!$AC$41)/'Sm Comm Cust Fcst'!$AJ$41</f>
        <v>272.06715243607476</v>
      </c>
    </row>
    <row r="11" spans="1:16">
      <c r="A11" s="518"/>
      <c r="B11" s="42"/>
      <c r="C11" s="86"/>
      <c r="D11" s="86"/>
      <c r="E11" s="86"/>
      <c r="F11" s="86"/>
      <c r="G11" s="715"/>
      <c r="H11" s="714"/>
      <c r="I11" s="714"/>
      <c r="J11" s="714"/>
      <c r="K11" s="716"/>
      <c r="L11" s="715"/>
      <c r="M11" s="714"/>
      <c r="N11" s="714"/>
      <c r="O11" s="714"/>
      <c r="P11" s="716"/>
    </row>
    <row r="12" spans="1:16">
      <c r="A12" s="145" t="s">
        <v>35</v>
      </c>
      <c r="B12" s="142">
        <f t="shared" ref="B12:P12" si="0">SUM(B8:B10)</f>
        <v>1057.5007770636134</v>
      </c>
      <c r="C12" s="34">
        <f t="shared" si="0"/>
        <v>3060.159404444636</v>
      </c>
      <c r="D12" s="34">
        <f t="shared" si="0"/>
        <v>8822.266883015036</v>
      </c>
      <c r="E12" s="34">
        <f t="shared" si="0"/>
        <v>13841.483922965794</v>
      </c>
      <c r="F12" s="34">
        <f t="shared" si="0"/>
        <v>2628.4668297189687</v>
      </c>
      <c r="G12" s="147">
        <f t="shared" si="0"/>
        <v>3995.6031632337135</v>
      </c>
      <c r="H12" s="97">
        <f t="shared" si="0"/>
        <v>3995.6031632337135</v>
      </c>
      <c r="I12" s="97">
        <f t="shared" si="0"/>
        <v>3995.6031632337135</v>
      </c>
      <c r="J12" s="97">
        <f t="shared" si="0"/>
        <v>5611.3674461603587</v>
      </c>
      <c r="K12" s="99">
        <f t="shared" si="0"/>
        <v>4237.9678056727098</v>
      </c>
      <c r="L12" s="147">
        <f t="shared" si="0"/>
        <v>1057.8082171458777</v>
      </c>
      <c r="M12" s="97">
        <f t="shared" si="0"/>
        <v>3060.288528136437</v>
      </c>
      <c r="N12" s="97">
        <f t="shared" si="0"/>
        <v>8821.1492116662375</v>
      </c>
      <c r="O12" s="97">
        <f t="shared" si="0"/>
        <v>13808.824730597518</v>
      </c>
      <c r="P12" s="99">
        <f t="shared" si="0"/>
        <v>2628.7108154960924</v>
      </c>
    </row>
    <row r="13" spans="1:16">
      <c r="A13" s="518"/>
      <c r="B13" s="42"/>
      <c r="C13" s="86"/>
      <c r="D13" s="86"/>
      <c r="E13" s="86"/>
      <c r="F13" s="86"/>
      <c r="G13" s="715"/>
      <c r="H13" s="714"/>
      <c r="I13" s="714"/>
      <c r="J13" s="714"/>
      <c r="K13" s="716"/>
      <c r="L13" s="715"/>
      <c r="M13" s="714"/>
      <c r="N13" s="714"/>
      <c r="O13" s="714"/>
      <c r="P13" s="716"/>
    </row>
    <row r="14" spans="1:16">
      <c r="A14" s="145" t="s">
        <v>65</v>
      </c>
      <c r="B14" s="142"/>
      <c r="C14" s="34"/>
      <c r="D14" s="34"/>
      <c r="E14" s="34"/>
      <c r="F14" s="34"/>
      <c r="G14" s="147"/>
      <c r="H14" s="97"/>
      <c r="I14" s="97"/>
      <c r="J14" s="97"/>
      <c r="K14" s="99"/>
      <c r="L14" s="147"/>
      <c r="M14" s="97"/>
      <c r="N14" s="97"/>
      <c r="O14" s="97"/>
      <c r="P14" s="99"/>
    </row>
    <row r="15" spans="1:16">
      <c r="A15" s="519">
        <f>Inputs!C3</f>
        <v>2.7723662892949787E-2</v>
      </c>
      <c r="B15" s="142"/>
      <c r="C15" s="34"/>
      <c r="D15" s="34"/>
      <c r="E15" s="34"/>
      <c r="F15" s="34"/>
      <c r="G15" s="147"/>
      <c r="H15" s="97"/>
      <c r="I15" s="97"/>
      <c r="J15" s="97"/>
      <c r="K15" s="99"/>
      <c r="L15" s="147"/>
      <c r="M15" s="97"/>
      <c r="N15" s="97"/>
      <c r="O15" s="97"/>
      <c r="P15" s="99"/>
    </row>
    <row r="16" spans="1:16">
      <c r="A16" s="40" t="s">
        <v>64</v>
      </c>
      <c r="B16" s="142"/>
      <c r="C16" s="34"/>
      <c r="D16" s="34"/>
      <c r="E16" s="34"/>
      <c r="F16" s="34"/>
      <c r="G16" s="147"/>
      <c r="H16" s="97"/>
      <c r="I16" s="97"/>
      <c r="J16" s="97"/>
      <c r="K16" s="99"/>
      <c r="L16" s="147"/>
      <c r="M16" s="97"/>
      <c r="N16" s="97"/>
      <c r="O16" s="97"/>
      <c r="P16" s="99"/>
    </row>
    <row r="17" spans="1:16">
      <c r="A17" s="53">
        <f>Inputs!C4</f>
        <v>1.5023E-2</v>
      </c>
      <c r="B17" s="142"/>
      <c r="C17" s="34"/>
      <c r="D17" s="34"/>
      <c r="E17" s="34"/>
      <c r="F17" s="34"/>
      <c r="G17" s="147"/>
      <c r="H17" s="97"/>
      <c r="I17" s="97"/>
      <c r="J17" s="97"/>
      <c r="K17" s="99"/>
      <c r="L17" s="147"/>
      <c r="M17" s="97"/>
      <c r="N17" s="97"/>
      <c r="O17" s="97"/>
      <c r="P17" s="99"/>
    </row>
    <row r="18" spans="1:16">
      <c r="A18" s="519"/>
      <c r="B18" s="142"/>
      <c r="C18" s="34"/>
      <c r="D18" s="34"/>
      <c r="E18" s="34"/>
      <c r="F18" s="34"/>
      <c r="G18" s="147"/>
      <c r="H18" s="97"/>
      <c r="I18" s="97"/>
      <c r="J18" s="97"/>
      <c r="K18" s="99"/>
      <c r="L18" s="147"/>
      <c r="M18" s="97"/>
      <c r="N18" s="97"/>
      <c r="O18" s="97"/>
      <c r="P18" s="99"/>
    </row>
    <row r="19" spans="1:16">
      <c r="A19" s="520" t="s">
        <v>111</v>
      </c>
      <c r="B19" s="34">
        <f t="shared" ref="B19:C21" si="1">(B8*(1+$A$15)*(1+$A$17))</f>
        <v>543.09436302497352</v>
      </c>
      <c r="C19" s="34">
        <f t="shared" si="1"/>
        <v>2350.7528194633287</v>
      </c>
      <c r="D19" s="34">
        <f t="shared" ref="D19:P19" si="2">(D8*(1+$A$15)*(1+$A$17))</f>
        <v>8131.6271128890148</v>
      </c>
      <c r="E19" s="34">
        <f t="shared" si="2"/>
        <v>12385.595374355606</v>
      </c>
      <c r="F19" s="34">
        <f t="shared" si="2"/>
        <v>2000.7808379157148</v>
      </c>
      <c r="G19" s="142">
        <f t="shared" si="2"/>
        <v>0</v>
      </c>
      <c r="H19" s="34">
        <f t="shared" si="2"/>
        <v>0</v>
      </c>
      <c r="I19" s="34">
        <f t="shared" si="2"/>
        <v>0</v>
      </c>
      <c r="J19" s="34">
        <f t="shared" si="2"/>
        <v>0</v>
      </c>
      <c r="K19" s="44">
        <f t="shared" si="2"/>
        <v>0</v>
      </c>
      <c r="L19" s="142">
        <f t="shared" si="2"/>
        <v>543.03753417638359</v>
      </c>
      <c r="M19" s="34">
        <f t="shared" si="2"/>
        <v>2350.4283340202346</v>
      </c>
      <c r="N19" s="34">
        <f t="shared" si="2"/>
        <v>8129.7441379873399</v>
      </c>
      <c r="O19" s="34">
        <f t="shared" si="2"/>
        <v>12336.446186362135</v>
      </c>
      <c r="P19" s="44">
        <f t="shared" si="2"/>
        <v>2000.4775376537782</v>
      </c>
    </row>
    <row r="20" spans="1:16">
      <c r="A20" s="520" t="s">
        <v>51</v>
      </c>
      <c r="B20" s="34">
        <f t="shared" si="1"/>
        <v>291.97870477614487</v>
      </c>
      <c r="C20" s="34">
        <f t="shared" si="1"/>
        <v>548.31335563690766</v>
      </c>
      <c r="D20" s="34">
        <f t="shared" ref="D20:P20" si="3">(D9*(1+$A$15)*(1+$A$17))</f>
        <v>768.49903280600017</v>
      </c>
      <c r="E20" s="34">
        <f t="shared" si="3"/>
        <v>1618.4422406234351</v>
      </c>
      <c r="F20" s="34">
        <f t="shared" si="3"/>
        <v>457.42398453375711</v>
      </c>
      <c r="G20" s="142">
        <f t="shared" si="3"/>
        <v>3265.0248521936915</v>
      </c>
      <c r="H20" s="34">
        <f t="shared" si="3"/>
        <v>3265.0248521936915</v>
      </c>
      <c r="I20" s="34">
        <f t="shared" si="3"/>
        <v>3265.0248521936915</v>
      </c>
      <c r="J20" s="34">
        <f t="shared" si="3"/>
        <v>4879.4941383556979</v>
      </c>
      <c r="K20" s="44">
        <f t="shared" si="3"/>
        <v>3507.1952451179923</v>
      </c>
      <c r="L20" s="142">
        <f t="shared" si="3"/>
        <v>292.28980133848364</v>
      </c>
      <c r="M20" s="34">
        <f t="shared" si="3"/>
        <v>548.68835607354208</v>
      </c>
      <c r="N20" s="34">
        <f t="shared" si="3"/>
        <v>769.07713303047342</v>
      </c>
      <c r="O20" s="34">
        <f t="shared" si="3"/>
        <v>1631.3829227572933</v>
      </c>
      <c r="P20" s="44">
        <f t="shared" si="3"/>
        <v>457.88630224724773</v>
      </c>
    </row>
    <row r="21" spans="1:16">
      <c r="A21" s="520" t="s">
        <v>52</v>
      </c>
      <c r="B21" s="34">
        <f t="shared" si="1"/>
        <v>268.07277972373731</v>
      </c>
      <c r="C21" s="34">
        <f t="shared" si="1"/>
        <v>293.17936551383519</v>
      </c>
      <c r="D21" s="34">
        <f t="shared" ref="D21:P21" si="4">(D10*(1+$A$15)*(1+$A$17))</f>
        <v>302.93761448286403</v>
      </c>
      <c r="E21" s="34">
        <f t="shared" si="4"/>
        <v>434.88843063581976</v>
      </c>
      <c r="F21" s="34">
        <f t="shared" si="4"/>
        <v>283.71492971623178</v>
      </c>
      <c r="G21" s="142">
        <f t="shared" si="4"/>
        <v>903.04115161341838</v>
      </c>
      <c r="H21" s="34">
        <f t="shared" si="4"/>
        <v>903.04115161341838</v>
      </c>
      <c r="I21" s="34">
        <f t="shared" si="4"/>
        <v>903.04115161341838</v>
      </c>
      <c r="J21" s="34">
        <f t="shared" si="4"/>
        <v>974.07763334200445</v>
      </c>
      <c r="K21" s="44">
        <f t="shared" si="4"/>
        <v>913.69662387270637</v>
      </c>
      <c r="L21" s="142">
        <f t="shared" si="4"/>
        <v>268.13922217632432</v>
      </c>
      <c r="M21" s="34">
        <f t="shared" si="4"/>
        <v>293.26354759808078</v>
      </c>
      <c r="N21" s="34">
        <f t="shared" si="4"/>
        <v>303.07657558906533</v>
      </c>
      <c r="O21" s="34">
        <f t="shared" si="4"/>
        <v>437.02807032909823</v>
      </c>
      <c r="P21" s="44">
        <f t="shared" si="4"/>
        <v>283.81042923783457</v>
      </c>
    </row>
    <row r="22" spans="1:16">
      <c r="A22" s="519"/>
      <c r="B22" s="142"/>
      <c r="C22" s="34"/>
      <c r="D22" s="34"/>
      <c r="E22" s="34"/>
      <c r="F22" s="34"/>
      <c r="G22" s="147"/>
      <c r="H22" s="97"/>
      <c r="I22" s="97"/>
      <c r="J22" s="97"/>
      <c r="K22" s="99"/>
      <c r="L22" s="147"/>
      <c r="M22" s="97"/>
      <c r="N22" s="97"/>
      <c r="O22" s="97"/>
      <c r="P22" s="99"/>
    </row>
    <row r="23" spans="1:16">
      <c r="A23" s="145" t="s">
        <v>35</v>
      </c>
      <c r="B23" s="142">
        <f t="shared" ref="B23:P23" si="5">SUM(B19:B21)</f>
        <v>1103.1458475248558</v>
      </c>
      <c r="C23" s="34">
        <f t="shared" si="5"/>
        <v>3192.2455406140716</v>
      </c>
      <c r="D23" s="34">
        <f t="shared" si="5"/>
        <v>9203.0637601778781</v>
      </c>
      <c r="E23" s="34">
        <f t="shared" si="5"/>
        <v>14438.92604561486</v>
      </c>
      <c r="F23" s="34">
        <f t="shared" si="5"/>
        <v>2741.9197521657038</v>
      </c>
      <c r="G23" s="147">
        <f t="shared" si="5"/>
        <v>4168.0660038071101</v>
      </c>
      <c r="H23" s="97">
        <f t="shared" si="5"/>
        <v>4168.0660038071101</v>
      </c>
      <c r="I23" s="97">
        <f t="shared" si="5"/>
        <v>4168.0660038071101</v>
      </c>
      <c r="J23" s="97">
        <f t="shared" si="5"/>
        <v>5853.5717716977024</v>
      </c>
      <c r="K23" s="99">
        <f t="shared" si="5"/>
        <v>4420.8918689906986</v>
      </c>
      <c r="L23" s="147">
        <f t="shared" si="5"/>
        <v>1103.4665576911916</v>
      </c>
      <c r="M23" s="97">
        <f t="shared" si="5"/>
        <v>3192.3802376918575</v>
      </c>
      <c r="N23" s="97">
        <f t="shared" si="5"/>
        <v>9201.8978466068802</v>
      </c>
      <c r="O23" s="97">
        <f t="shared" si="5"/>
        <v>14404.857179448525</v>
      </c>
      <c r="P23" s="99">
        <f t="shared" si="5"/>
        <v>2742.1742691388608</v>
      </c>
    </row>
    <row r="24" spans="1:16">
      <c r="A24" s="518"/>
      <c r="B24" s="42"/>
      <c r="C24" s="86"/>
      <c r="D24" s="86"/>
      <c r="E24" s="86"/>
      <c r="F24" s="86"/>
      <c r="G24" s="715"/>
      <c r="H24" s="714"/>
      <c r="I24" s="714"/>
      <c r="J24" s="714"/>
      <c r="K24" s="716"/>
      <c r="L24" s="715"/>
      <c r="M24" s="714"/>
      <c r="N24" s="714"/>
      <c r="O24" s="714"/>
      <c r="P24" s="716"/>
    </row>
    <row r="25" spans="1:16">
      <c r="A25" s="806" t="str">
        <f>'Resid TSM Sum by Rate Schedule'!A25</f>
        <v>Annualized Transformer Cost at 8.05%</v>
      </c>
      <c r="B25" s="147">
        <f>B19*Inputs!$C$5</f>
        <v>43.707507965749073</v>
      </c>
      <c r="C25" s="97">
        <f>C19*Inputs!$C$5</f>
        <v>189.18544285733253</v>
      </c>
      <c r="D25" s="97">
        <f>D19*Inputs!$C$5</f>
        <v>654.42247426669485</v>
      </c>
      <c r="E25" s="97">
        <f>E19*Inputs!$C$5</f>
        <v>996.77615040961041</v>
      </c>
      <c r="F25" s="97">
        <f>F19*Inputs!$C$5</f>
        <v>161.02016585817145</v>
      </c>
      <c r="G25" s="147">
        <f>G19*Inputs!$C$5</f>
        <v>0</v>
      </c>
      <c r="H25" s="97">
        <f>H19*Inputs!$C$5</f>
        <v>0</v>
      </c>
      <c r="I25" s="97">
        <f>I19*Inputs!$C$5</f>
        <v>0</v>
      </c>
      <c r="J25" s="97">
        <f>J19*Inputs!$C$5</f>
        <v>0</v>
      </c>
      <c r="K25" s="99">
        <f>K19*Inputs!$C$5</f>
        <v>0</v>
      </c>
      <c r="L25" s="147">
        <f>L19*Inputs!$C$5</f>
        <v>43.702934456021239</v>
      </c>
      <c r="M25" s="97">
        <f>M19*Inputs!$C$5</f>
        <v>189.15932870286073</v>
      </c>
      <c r="N25" s="97">
        <f>N19*Inputs!$C$5</f>
        <v>654.27093496502391</v>
      </c>
      <c r="O25" s="97">
        <f>O19*Inputs!$C$5</f>
        <v>992.82068949528684</v>
      </c>
      <c r="P25" s="99">
        <f>P19*Inputs!$C$5</f>
        <v>160.99575665874474</v>
      </c>
    </row>
    <row r="26" spans="1:16">
      <c r="A26" s="806" t="str">
        <f>'Resid TSM Sum by Rate Schedule'!A26</f>
        <v>Annualized Services Cost at 7.08%</v>
      </c>
      <c r="B26" s="147">
        <f>B20*Inputs!$C$6</f>
        <v>20.664810332241704</v>
      </c>
      <c r="C26" s="97">
        <f>C20*Inputs!$C$6</f>
        <v>38.806910612055816</v>
      </c>
      <c r="D26" s="97">
        <f>D20*Inputs!$C$6</f>
        <v>54.390565112009774</v>
      </c>
      <c r="E26" s="97">
        <f>E20*Inputs!$C$6</f>
        <v>114.54534659235897</v>
      </c>
      <c r="F26" s="97">
        <f>F20*Inputs!$C$6</f>
        <v>32.374209924163772</v>
      </c>
      <c r="G26" s="147">
        <f>G20*Inputs!$C$6</f>
        <v>231.08232962526188</v>
      </c>
      <c r="H26" s="97">
        <f>H20*Inputs!$C$6</f>
        <v>231.08232962526188</v>
      </c>
      <c r="I26" s="97">
        <f>I20*Inputs!$C$6</f>
        <v>231.08232962526188</v>
      </c>
      <c r="J26" s="97">
        <f>J20*Inputs!$C$6</f>
        <v>345.34649012746746</v>
      </c>
      <c r="K26" s="99">
        <f>K20*Inputs!$C$6</f>
        <v>248.22195370059271</v>
      </c>
      <c r="L26" s="147">
        <f>L20*Inputs!$C$6</f>
        <v>20.686828210088898</v>
      </c>
      <c r="M26" s="97">
        <f>M20*Inputs!$C$6</f>
        <v>38.833451290436791</v>
      </c>
      <c r="N26" s="97">
        <f>N20*Inputs!$C$6</f>
        <v>54.4314801900492</v>
      </c>
      <c r="O26" s="97">
        <f>O20*Inputs!$C$6</f>
        <v>115.46122414606972</v>
      </c>
      <c r="P26" s="99">
        <f>P20*Inputs!$C$6</f>
        <v>32.406930488048197</v>
      </c>
    </row>
    <row r="27" spans="1:16" ht="15">
      <c r="A27" s="806" t="str">
        <f>'Resid TSM Sum by Rate Schedule'!A27</f>
        <v>Annualized Meter Cost at 10.78%</v>
      </c>
      <c r="B27" s="628">
        <f>B21*Inputs!$C$7</f>
        <v>28.889251637270934</v>
      </c>
      <c r="C27" s="627">
        <f>C21*Inputs!$C$7</f>
        <v>31.594899243082828</v>
      </c>
      <c r="D27" s="627">
        <f>D21*Inputs!$C$7</f>
        <v>32.646511086314113</v>
      </c>
      <c r="E27" s="627">
        <f>E21*Inputs!$C$7</f>
        <v>46.866382031489643</v>
      </c>
      <c r="F27" s="627">
        <f>F21*Inputs!$C$7</f>
        <v>30.57495060210729</v>
      </c>
      <c r="G27" s="628">
        <f>G21*Inputs!$C$7</f>
        <v>97.31753852314354</v>
      </c>
      <c r="H27" s="627">
        <f>H21*Inputs!$C$7</f>
        <v>97.31753852314354</v>
      </c>
      <c r="I27" s="627">
        <f>I21*Inputs!$C$7</f>
        <v>97.31753852314354</v>
      </c>
      <c r="J27" s="627">
        <f>J21*Inputs!$C$7</f>
        <v>104.97288793310008</v>
      </c>
      <c r="K27" s="626">
        <f>K21*Inputs!$C$7</f>
        <v>98.465840934637029</v>
      </c>
      <c r="L27" s="628">
        <f>L21*Inputs!$C$7</f>
        <v>28.89641190447211</v>
      </c>
      <c r="M27" s="627">
        <f>M21*Inputs!$C$7</f>
        <v>31.603971247400562</v>
      </c>
      <c r="N27" s="627">
        <f>N21*Inputs!$C$7</f>
        <v>32.661486431326686</v>
      </c>
      <c r="O27" s="627">
        <f>O21*Inputs!$C$7</f>
        <v>47.09696340411508</v>
      </c>
      <c r="P27" s="626">
        <f>P21*Inputs!$C$7</f>
        <v>30.585242246464713</v>
      </c>
    </row>
    <row r="28" spans="1:16">
      <c r="A28" s="621" t="s">
        <v>380</v>
      </c>
      <c r="B28" s="630">
        <f t="shared" ref="B28:P28" si="6">SUM(B25:B27)</f>
        <v>93.261569935261704</v>
      </c>
      <c r="C28" s="629">
        <f t="shared" si="6"/>
        <v>259.58725271247118</v>
      </c>
      <c r="D28" s="629">
        <f t="shared" si="6"/>
        <v>741.45955046501876</v>
      </c>
      <c r="E28" s="629">
        <f t="shared" si="6"/>
        <v>1158.187879033459</v>
      </c>
      <c r="F28" s="629">
        <f t="shared" si="6"/>
        <v>223.96932638444252</v>
      </c>
      <c r="G28" s="630">
        <f t="shared" si="6"/>
        <v>328.3998681484054</v>
      </c>
      <c r="H28" s="629">
        <f t="shared" si="6"/>
        <v>328.3998681484054</v>
      </c>
      <c r="I28" s="629">
        <f t="shared" si="6"/>
        <v>328.3998681484054</v>
      </c>
      <c r="J28" s="629">
        <f t="shared" si="6"/>
        <v>450.31937806056754</v>
      </c>
      <c r="K28" s="631">
        <f t="shared" si="6"/>
        <v>346.68779463522975</v>
      </c>
      <c r="L28" s="630">
        <f t="shared" si="6"/>
        <v>93.286174570582233</v>
      </c>
      <c r="M28" s="629">
        <f t="shared" si="6"/>
        <v>259.5967512406981</v>
      </c>
      <c r="N28" s="629">
        <f t="shared" si="6"/>
        <v>741.36390158639983</v>
      </c>
      <c r="O28" s="629">
        <f t="shared" si="6"/>
        <v>1155.3788770454717</v>
      </c>
      <c r="P28" s="631">
        <f t="shared" si="6"/>
        <v>223.98792939325764</v>
      </c>
    </row>
    <row r="29" spans="1:16">
      <c r="A29" s="519"/>
      <c r="B29" s="53"/>
      <c r="C29" s="87"/>
      <c r="D29" s="87"/>
      <c r="E29" s="87"/>
      <c r="F29" s="87"/>
      <c r="G29" s="718"/>
      <c r="H29" s="717"/>
      <c r="I29" s="717"/>
      <c r="J29" s="717"/>
      <c r="K29" s="719"/>
      <c r="L29" s="718"/>
      <c r="M29" s="717"/>
      <c r="N29" s="717"/>
      <c r="O29" s="717"/>
      <c r="P29" s="719"/>
    </row>
    <row r="30" spans="1:16">
      <c r="A30" s="145" t="s">
        <v>50</v>
      </c>
      <c r="B30" s="139">
        <f>('Sch TOU-A TSM Summary'!B31*'Sm Comm Cust Fcst'!$F$42+'Sch A-TC TSM Summary'!B31*'Sm Comm Cust Fcst'!$M$42+'Sch A-TOU TSM Summary'!B31*'Sm Comm Cust Fcst'!$T$42+'Sch UM TSM Summary'!B31*'Sm Comm Cust Fcst'!$AA$42)/'Sm Comm Cust Fcst'!$AH$42</f>
        <v>25.52612758259146</v>
      </c>
      <c r="C30" s="37">
        <f>('Sch TOU-A TSM Summary'!C31*'Sm Comm Cust Fcst'!$F$43+'Sch A-TC TSM Summary'!C31*'Sm Comm Cust Fcst'!$M$43+'Sch A-TOU TSM Summary'!C31*'Sm Comm Cust Fcst'!$T$43+'Sch UM TSM Summary'!C31*'Sm Comm Cust Fcst'!$AA$43)/'Sm Comm Cust Fcst'!$AH$43</f>
        <v>27.941394495320111</v>
      </c>
      <c r="D30" s="37">
        <f>('Sch TOU-A TSM Summary'!D31*'Sm Comm Cust Fcst'!$F$44+'Sch A-TC TSM Summary'!D31*'Sm Comm Cust Fcst'!$M$44+'Sch A-TOU TSM Summary'!D31*'Sm Comm Cust Fcst'!$T$44+'Sch UM TSM Summary'!D31*'Sm Comm Cust Fcst'!$AA$44)/'Sm Comm Cust Fcst'!$AH$44</f>
        <v>28.849796396778395</v>
      </c>
      <c r="E30" s="37">
        <f>('Sch TOU-A TSM Summary'!E31*'Sm Comm Cust Fcst'!$F$45+'Sch A-TC TSM Summary'!E31*'Sm Comm Cust Fcst'!$M$45+'Sch A-TOU TSM Summary'!E31*'Sm Comm Cust Fcst'!$T$45+'Sch UM TSM Summary'!E31*'Sm Comm Cust Fcst'!$AA$45)/'Sm Comm Cust Fcst'!$AH$45</f>
        <v>28.169882894445408</v>
      </c>
      <c r="F30" s="37">
        <f>('Sch TOU-A TSM Summary'!F31*'Sm Comm Cust Fcst'!$F$41+'Sch A-TC TSM Summary'!F31*'Sm Comm Cust Fcst'!$M$41+'Sch A-TOU TSM Summary'!F31*'Sm Comm Cust Fcst'!$T$41+'Sch UM TSM Summary'!F31*'Sm Comm Cust Fcst'!$AA$41)/'Sm Comm Cust Fcst'!$AH$41</f>
        <v>26.95241068017728</v>
      </c>
      <c r="G30" s="139">
        <f>('Sch TOU-A TSM Summary'!G31*'Sm Comm Cust Fcst'!$G$42+'Sch A-TC TSM Summary'!G31*'Sm Comm Cust Fcst'!$O$42+'Sch A-TOU TSM Summary'!G31*'Sm Comm Cust Fcst'!$U$42+'Sch UM TSM Summary'!G31*'Sm Comm Cust Fcst'!$AB$42)/'Sm Comm Cust Fcst'!$AI$42</f>
        <v>43.456302151651322</v>
      </c>
      <c r="H30" s="37">
        <f>('Sch TOU-A TSM Summary'!H31*'Sm Comm Cust Fcst'!$G$43+'Sch A-TC TSM Summary'!H31*'Sm Comm Cust Fcst'!$O$43+'Sch A-TOU TSM Summary'!H31*'Sm Comm Cust Fcst'!$U$43+'Sch UM TSM Summary'!H31*'Sm Comm Cust Fcst'!$AB$43)/'Sm Comm Cust Fcst'!$AI$43</f>
        <v>43.456302151651315</v>
      </c>
      <c r="I30" s="37">
        <f>('Sch TOU-A TSM Summary'!I31*'Sm Comm Cust Fcst'!$G$44+'Sch A-TC TSM Summary'!I31*'Sm Comm Cust Fcst'!$O$44+'Sch A-TOU TSM Summary'!I31*'Sm Comm Cust Fcst'!$U$44+'Sch UM TSM Summary'!I31*'Sm Comm Cust Fcst'!$AB$44)/'Sm Comm Cust Fcst'!$AI$44</f>
        <v>43.456302151651315</v>
      </c>
      <c r="J30" s="37">
        <f>('Sch TOU-A TSM Summary'!J31*'Sm Comm Cust Fcst'!$G$45+'Sch A-TC TSM Summary'!J31*'Sm Comm Cust Fcst'!$O$45+'Sch A-TOU TSM Summary'!J31*'Sm Comm Cust Fcst'!$U$45+'Sch UM TSM Summary'!J31*'Sm Comm Cust Fcst'!$AB$45)/'Sm Comm Cust Fcst'!$AI$45</f>
        <v>43.456302151651322</v>
      </c>
      <c r="K30" s="38">
        <f>('Sch TOU-A TSM Summary'!K31*'Sm Comm Cust Fcst'!$G$41+'Sch A-TC TSM Summary'!K31*'Sm Comm Cust Fcst'!$O$41+'Sch A-TOU TSM Summary'!K31*'Sm Comm Cust Fcst'!$U$41+'Sch UM TSM Summary'!K31*'Sm Comm Cust Fcst'!$AB$41)/'Sm Comm Cust Fcst'!$AI$41</f>
        <v>43.456302151651315</v>
      </c>
      <c r="L30" s="139">
        <f>('Sch TOU-A TSM Summary'!L31*'Sm Comm Cust Fcst'!$H$42+'Sch A-TC TSM Summary'!L31*'Sm Comm Cust Fcst'!$O$42+'Sch A-TOU TSM Summary'!L31*'Sm Comm Cust Fcst'!$V$42+'Sch UM TSM Summary'!L31*'Sm Comm Cust Fcst'!$AC$42)/'Sm Comm Cust Fcst'!$AJ$42</f>
        <v>25.528571032337339</v>
      </c>
      <c r="M30" s="37">
        <f>('Sch TOU-A TSM Summary'!M31*'Sm Comm Cust Fcst'!$H$43+'Sch A-TC TSM Summary'!M31*'Sm Comm Cust Fcst'!$O$43+'Sch A-TOU TSM Summary'!M31*'Sm Comm Cust Fcst'!$V$43+'Sch UM TSM Summary'!M31*'Sm Comm Cust Fcst'!$AC$43)/'Sm Comm Cust Fcst'!$AJ$43</f>
        <v>27.943873164077967</v>
      </c>
      <c r="N30" s="37">
        <f>('Sch TOU-A TSM Summary'!N31*'Sm Comm Cust Fcst'!$H$44+'Sch A-TC TSM Summary'!N31*'Sm Comm Cust Fcst'!$O$44+'Sch A-TOU TSM Summary'!N31*'Sm Comm Cust Fcst'!$V$44+'Sch UM TSM Summary'!N31*'Sm Comm Cust Fcst'!$AC$44)/'Sm Comm Cust Fcst'!$AJ$44</f>
        <v>28.852036426801284</v>
      </c>
      <c r="O30" s="37">
        <f>('Sch TOU-A TSM Summary'!O31*'Sm Comm Cust Fcst'!$H$45+'Sch A-TC TSM Summary'!O31*'Sm Comm Cust Fcst'!$O$45+'Sch A-TOU TSM Summary'!O31*'Sm Comm Cust Fcst'!$V$45+'Sch UM TSM Summary'!O31*'Sm Comm Cust Fcst'!$AC$45)/'Sm Comm Cust Fcst'!$AJ$45</f>
        <v>28.171498312679841</v>
      </c>
      <c r="P30" s="38">
        <f>('Sch TOU-A TSM Summary'!P31*'Sm Comm Cust Fcst'!$H$41+'Sch A-TC TSM Summary'!P31*'Sm Comm Cust Fcst'!$O$41+'Sch A-TOU TSM Summary'!P31*'Sm Comm Cust Fcst'!$V$41+'Sch UM TSM Summary'!P31*'Sm Comm Cust Fcst'!$AC$41)/'Sm Comm Cust Fcst'!$AJ$41</f>
        <v>26.954912520714437</v>
      </c>
    </row>
    <row r="31" spans="1:16">
      <c r="A31" s="146"/>
      <c r="B31" s="11"/>
      <c r="C31" s="12"/>
      <c r="D31" s="12"/>
      <c r="E31" s="12"/>
      <c r="F31" s="12"/>
      <c r="G31" s="130"/>
      <c r="H31" s="117"/>
      <c r="I31" s="117"/>
      <c r="J31" s="117"/>
      <c r="K31" s="605"/>
      <c r="L31" s="130"/>
      <c r="M31" s="117"/>
      <c r="N31" s="117"/>
      <c r="O31" s="117"/>
      <c r="P31" s="605"/>
    </row>
    <row r="32" spans="1:16">
      <c r="A32" s="145" t="s">
        <v>61</v>
      </c>
      <c r="B32" s="139">
        <f>('Sch TOU-A TSM Summary'!B33*'Sm Comm Cust Fcst'!$F$42+'Sch A-TC TSM Summary'!B33*'Sm Comm Cust Fcst'!$M$42+'Sch A-TOU TSM Summary'!B33*'Sm Comm Cust Fcst'!$T$42+'Sch UM TSM Summary'!B33*'Sm Comm Cust Fcst'!$AA$42)/'Sm Comm Cust Fcst'!$AH$42</f>
        <v>52.532527554476708</v>
      </c>
      <c r="C32" s="37">
        <f>('Sch TOU-A TSM Summary'!C33*'Sm Comm Cust Fcst'!$F$43+'Sch A-TC TSM Summary'!C33*'Sm Comm Cust Fcst'!$M$43+'Sch A-TOU TSM Summary'!C33*'Sm Comm Cust Fcst'!$T$43+'Sch UM TSM Summary'!C33*'Sm Comm Cust Fcst'!$AA$43)/'Sm Comm Cust Fcst'!$AH$43</f>
        <v>52.532007289589984</v>
      </c>
      <c r="D32" s="37">
        <f>('Sch TOU-A TSM Summary'!D33*'Sm Comm Cust Fcst'!$F$44+'Sch A-TC TSM Summary'!D33*'Sm Comm Cust Fcst'!$M$44+'Sch A-TOU TSM Summary'!D33*'Sm Comm Cust Fcst'!$T$44+'Sch UM TSM Summary'!D33*'Sm Comm Cust Fcst'!$AA$44)/'Sm Comm Cust Fcst'!$AH$44</f>
        <v>52.508197469295986</v>
      </c>
      <c r="E32" s="37">
        <f>('Sch TOU-A TSM Summary'!E33*'Sm Comm Cust Fcst'!$F$45+'Sch A-TC TSM Summary'!E33*'Sm Comm Cust Fcst'!$M$45+'Sch A-TOU TSM Summary'!E33*'Sm Comm Cust Fcst'!$T$45+'Sch UM TSM Summary'!E33*'Sm Comm Cust Fcst'!$AA$45)/'Sm Comm Cust Fcst'!$AH$45</f>
        <v>52.428294254310906</v>
      </c>
      <c r="F32" s="37">
        <f>('Sch TOU-A TSM Summary'!F33*'Sm Comm Cust Fcst'!$F$41+'Sch A-TC TSM Summary'!F33*'Sm Comm Cust Fcst'!$M$41+'Sch A-TOU TSM Summary'!F33*'Sm Comm Cust Fcst'!$T$41+'Sch UM TSM Summary'!F33*'Sm Comm Cust Fcst'!$AA$41)/'Sm Comm Cust Fcst'!$AH$41</f>
        <v>52.530082817230813</v>
      </c>
      <c r="G32" s="139">
        <f>('Sch TOU-A TSM Summary'!G33*'Sm Comm Cust Fcst'!$G$42+'Sch A-TC TSM Summary'!G33*'Sm Comm Cust Fcst'!$N$42+'Sch A-TOU TSM Summary'!G33*'Sm Comm Cust Fcst'!$U$42+'Sch UM TSM Summary'!G33*'Sm Comm Cust Fcst'!$AB$42)/'Sm Comm Cust Fcst'!$AI$42</f>
        <v>52.536506967829744</v>
      </c>
      <c r="H32" s="37">
        <f>('Sch TOU-A TSM Summary'!H33*'Sm Comm Cust Fcst'!$G$43+'Sch A-TC TSM Summary'!H33*'Sm Comm Cust Fcst'!$N$43+'Sch A-TOU TSM Summary'!H33*'Sm Comm Cust Fcst'!$U$43+'Sch UM TSM Summary'!H33*'Sm Comm Cust Fcst'!$AB$43)/'Sm Comm Cust Fcst'!$AI$43</f>
        <v>52.536506967829744</v>
      </c>
      <c r="I32" s="37">
        <f>('Sch TOU-A TSM Summary'!I33*'Sm Comm Cust Fcst'!$G$44+'Sch A-TC TSM Summary'!I33*'Sm Comm Cust Fcst'!$N$44+'Sch A-TOU TSM Summary'!I33*'Sm Comm Cust Fcst'!$U$44+'Sch UM TSM Summary'!I33*'Sm Comm Cust Fcst'!$AB$44)/'Sm Comm Cust Fcst'!$AI$44</f>
        <v>52.536506967829744</v>
      </c>
      <c r="J32" s="37">
        <f>('Sch TOU-A TSM Summary'!J33*'Sm Comm Cust Fcst'!$G$45+'Sch A-TC TSM Summary'!J33*'Sm Comm Cust Fcst'!$N$45+'Sch A-TOU TSM Summary'!J33*'Sm Comm Cust Fcst'!$U$45+'Sch UM TSM Summary'!J33*'Sm Comm Cust Fcst'!$AB$45)/'Sm Comm Cust Fcst'!$AI$45</f>
        <v>52.536506967829744</v>
      </c>
      <c r="K32" s="38">
        <f>('Sch TOU-A TSM Summary'!K33*'Sm Comm Cust Fcst'!$G$41+'Sch A-TC TSM Summary'!K33*'Sm Comm Cust Fcst'!$N$41+'Sch A-TOU TSM Summary'!K33*'Sm Comm Cust Fcst'!$U$41+'Sch UM TSM Summary'!K33*'Sm Comm Cust Fcst'!$AB$41)/'Sm Comm Cust Fcst'!$AI$41</f>
        <v>52.536506967829744</v>
      </c>
      <c r="L32" s="139">
        <f>('Sch TOU-A TSM Summary'!L33*'Sm Comm Cust Fcst'!$H$42+'Sch A-TC TSM Summary'!L33*'Sm Comm Cust Fcst'!$O$42+'Sch A-TOU TSM Summary'!L33*'Sm Comm Cust Fcst'!$V$42+'Sch UM TSM Summary'!L33*'Sm Comm Cust Fcst'!$AC$42)/'Sm Comm Cust Fcst'!$AJ$42</f>
        <v>52.532527970878512</v>
      </c>
      <c r="M32" s="37">
        <f>('Sch TOU-A TSM Summary'!M33*'Sm Comm Cust Fcst'!$H$43+'Sch A-TC TSM Summary'!M33*'Sm Comm Cust Fcst'!$O$43+'Sch A-TOU TSM Summary'!M33*'Sm Comm Cust Fcst'!$V$43+'Sch UM TSM Summary'!M33*'Sm Comm Cust Fcst'!$AC$43)/'Sm Comm Cust Fcst'!$AJ$43</f>
        <v>52.53200791070168</v>
      </c>
      <c r="N32" s="37">
        <f>('Sch TOU-A TSM Summary'!N33*'Sm Comm Cust Fcst'!$H$44+'Sch A-TC TSM Summary'!N33*'Sm Comm Cust Fcst'!$O$44+'Sch A-TOU TSM Summary'!N33*'Sm Comm Cust Fcst'!$V$44+'Sch UM TSM Summary'!N33*'Sm Comm Cust Fcst'!$AC$44)/'Sm Comm Cust Fcst'!$AJ$44</f>
        <v>52.508204024696816</v>
      </c>
      <c r="O32" s="37">
        <f>('Sch TOU-A TSM Summary'!O33*'Sm Comm Cust Fcst'!$H$45+'Sch A-TC TSM Summary'!O33*'Sm Comm Cust Fcst'!$O$45+'Sch A-TOU TSM Summary'!O33*'Sm Comm Cust Fcst'!$V$45+'Sch UM TSM Summary'!O33*'Sm Comm Cust Fcst'!$AC$45)/'Sm Comm Cust Fcst'!$AJ$45</f>
        <v>52.428723669840736</v>
      </c>
      <c r="P32" s="38">
        <f>('Sch TOU-A TSM Summary'!P33*'Sm Comm Cust Fcst'!$H$41+'Sch A-TC TSM Summary'!P33*'Sm Comm Cust Fcst'!$O$41+'Sch A-TOU TSM Summary'!P33*'Sm Comm Cust Fcst'!$V$41+'Sch UM TSM Summary'!P33*'Sm Comm Cust Fcst'!$AC$41)/'Sm Comm Cust Fcst'!$AJ$41</f>
        <v>52.530083791073878</v>
      </c>
    </row>
    <row r="33" spans="1:16">
      <c r="A33" s="146"/>
      <c r="B33" s="11"/>
      <c r="C33" s="12"/>
      <c r="D33" s="12"/>
      <c r="E33" s="12"/>
      <c r="F33" s="12"/>
      <c r="G33" s="130"/>
      <c r="H33" s="117"/>
      <c r="I33" s="117"/>
      <c r="J33" s="117"/>
      <c r="K33" s="605"/>
      <c r="L33" s="130"/>
      <c r="M33" s="117"/>
      <c r="N33" s="117"/>
      <c r="O33" s="117"/>
      <c r="P33" s="605"/>
    </row>
    <row r="34" spans="1:16" ht="13.5" thickBot="1">
      <c r="A34" s="622" t="s">
        <v>98</v>
      </c>
      <c r="B34" s="377">
        <f t="shared" ref="B34:P34" si="7">B28+B30+B32</f>
        <v>171.32022507232986</v>
      </c>
      <c r="C34" s="378">
        <f t="shared" si="7"/>
        <v>340.06065449738128</v>
      </c>
      <c r="D34" s="378">
        <f t="shared" si="7"/>
        <v>822.81754433109313</v>
      </c>
      <c r="E34" s="378">
        <f t="shared" si="7"/>
        <v>1238.7860561822154</v>
      </c>
      <c r="F34" s="378">
        <f t="shared" si="7"/>
        <v>303.45181988185061</v>
      </c>
      <c r="G34" s="721">
        <f t="shared" si="7"/>
        <v>424.39267726788643</v>
      </c>
      <c r="H34" s="720">
        <f t="shared" si="7"/>
        <v>424.39267726788643</v>
      </c>
      <c r="I34" s="720">
        <f t="shared" si="7"/>
        <v>424.39267726788643</v>
      </c>
      <c r="J34" s="720">
        <f t="shared" si="7"/>
        <v>546.31218718004857</v>
      </c>
      <c r="K34" s="722">
        <f t="shared" si="7"/>
        <v>442.68060375471077</v>
      </c>
      <c r="L34" s="721">
        <f t="shared" si="7"/>
        <v>171.34727357379808</v>
      </c>
      <c r="M34" s="720">
        <f t="shared" si="7"/>
        <v>340.07263231547773</v>
      </c>
      <c r="N34" s="720">
        <f t="shared" si="7"/>
        <v>822.72414203789799</v>
      </c>
      <c r="O34" s="720">
        <f t="shared" si="7"/>
        <v>1235.9790990279923</v>
      </c>
      <c r="P34" s="722">
        <f t="shared" si="7"/>
        <v>303.47292570504595</v>
      </c>
    </row>
    <row r="35" spans="1:16">
      <c r="A35" s="113"/>
      <c r="B35" s="113"/>
      <c r="C35" s="113"/>
      <c r="D35" s="113"/>
      <c r="E35" s="113"/>
      <c r="F35" s="113"/>
      <c r="G35" s="113"/>
      <c r="H35" s="113"/>
      <c r="I35" s="113"/>
      <c r="J35" s="113"/>
      <c r="K35" s="113"/>
    </row>
    <row r="37" spans="1:16"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</row>
    <row r="38" spans="1:16">
      <c r="A38" t="s">
        <v>3</v>
      </c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</row>
    <row r="39" spans="1:16"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</row>
    <row r="40" spans="1:16"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</row>
    <row r="41" spans="1:16"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</row>
    <row r="42" spans="1:16"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</row>
    <row r="43" spans="1:16"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</row>
    <row r="46" spans="1:16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</row>
    <row r="58" spans="1:11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</row>
  </sheetData>
  <mergeCells count="4">
    <mergeCell ref="A1:P1"/>
    <mergeCell ref="B2:F2"/>
    <mergeCell ref="G2:K2"/>
    <mergeCell ref="L2:P2"/>
  </mergeCells>
  <printOptions horizontalCentered="1"/>
  <pageMargins left="0.75" right="0.75" top="1" bottom="1" header="0.5" footer="0.5"/>
  <pageSetup scale="45" orientation="portrait" r:id="rId1"/>
  <headerFooter alignWithMargins="0">
    <oddFooter>&amp;L&amp;F
&amp;A&amp;R&amp;P of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75">
    <tabColor rgb="FF00642D"/>
    <pageSetUpPr fitToPage="1"/>
  </sheetPr>
  <dimension ref="A1:S60"/>
  <sheetViews>
    <sheetView zoomScaleNormal="100" workbookViewId="0">
      <selection activeCell="I31" sqref="I31"/>
    </sheetView>
  </sheetViews>
  <sheetFormatPr defaultRowHeight="12.75"/>
  <cols>
    <col min="1" max="1" width="41.140625" customWidth="1"/>
    <col min="2" max="11" width="11.140625" customWidth="1"/>
    <col min="12" max="12" width="9.140625" bestFit="1" customWidth="1"/>
    <col min="13" max="15" width="10.28515625" bestFit="1" customWidth="1"/>
    <col min="16" max="16" width="9.140625" bestFit="1" customWidth="1"/>
  </cols>
  <sheetData>
    <row r="1" spans="1:19" ht="18.75" thickBot="1">
      <c r="A1" s="826" t="s">
        <v>435</v>
      </c>
      <c r="B1" s="826"/>
      <c r="C1" s="826"/>
      <c r="D1" s="826"/>
      <c r="E1" s="826"/>
      <c r="F1" s="826"/>
      <c r="G1" s="826"/>
      <c r="H1" s="826"/>
      <c r="I1" s="826"/>
      <c r="J1" s="826"/>
      <c r="K1" s="826"/>
      <c r="L1" s="826"/>
      <c r="M1" s="826"/>
      <c r="N1" s="826"/>
      <c r="O1" s="826"/>
      <c r="P1" s="826"/>
    </row>
    <row r="2" spans="1:19" ht="13.5" thickBot="1">
      <c r="A2" s="131"/>
      <c r="B2" s="827" t="s">
        <v>0</v>
      </c>
      <c r="C2" s="828"/>
      <c r="D2" s="828"/>
      <c r="E2" s="828"/>
      <c r="F2" s="828"/>
      <c r="G2" s="827" t="s">
        <v>1</v>
      </c>
      <c r="H2" s="828"/>
      <c r="I2" s="828"/>
      <c r="J2" s="828"/>
      <c r="K2" s="829"/>
      <c r="L2" s="827" t="s">
        <v>250</v>
      </c>
      <c r="M2" s="828"/>
      <c r="N2" s="828"/>
      <c r="O2" s="828"/>
      <c r="P2" s="829"/>
    </row>
    <row r="3" spans="1:19" ht="13.5" thickBot="1">
      <c r="A3" s="102" t="s">
        <v>47</v>
      </c>
      <c r="B3" s="486" t="s">
        <v>103</v>
      </c>
      <c r="C3" s="487" t="s">
        <v>128</v>
      </c>
      <c r="D3" s="487" t="s">
        <v>129</v>
      </c>
      <c r="E3" s="487" t="s">
        <v>130</v>
      </c>
      <c r="F3" s="617" t="s">
        <v>167</v>
      </c>
      <c r="G3" s="483" t="s">
        <v>103</v>
      </c>
      <c r="H3" s="484" t="s">
        <v>128</v>
      </c>
      <c r="I3" s="484" t="s">
        <v>129</v>
      </c>
      <c r="J3" s="484" t="s">
        <v>130</v>
      </c>
      <c r="K3" s="485" t="s">
        <v>168</v>
      </c>
      <c r="L3" s="483" t="s">
        <v>103</v>
      </c>
      <c r="M3" s="484" t="s">
        <v>128</v>
      </c>
      <c r="N3" s="484" t="s">
        <v>129</v>
      </c>
      <c r="O3" s="484" t="s">
        <v>130</v>
      </c>
      <c r="P3" s="485" t="s">
        <v>2</v>
      </c>
    </row>
    <row r="4" spans="1:19">
      <c r="A4" s="621"/>
      <c r="B4" s="39"/>
      <c r="C4" s="176"/>
      <c r="D4" s="176"/>
      <c r="E4" s="176"/>
      <c r="F4" s="176"/>
      <c r="G4" s="39"/>
      <c r="H4" s="176"/>
      <c r="I4" s="176"/>
      <c r="J4" s="176"/>
      <c r="K4" s="373"/>
      <c r="L4" s="39"/>
      <c r="M4" s="176"/>
      <c r="N4" s="176"/>
      <c r="O4" s="176"/>
      <c r="P4" s="373"/>
    </row>
    <row r="5" spans="1:19">
      <c r="A5" s="145"/>
      <c r="B5" s="40"/>
      <c r="C5" s="84"/>
      <c r="D5" s="84"/>
      <c r="E5" s="84"/>
      <c r="F5" s="84"/>
      <c r="G5" s="40"/>
      <c r="H5" s="84"/>
      <c r="I5" s="84"/>
      <c r="J5" s="84"/>
      <c r="K5" s="161"/>
      <c r="L5" s="40"/>
      <c r="M5" s="84"/>
      <c r="N5" s="84"/>
      <c r="O5" s="84"/>
      <c r="P5" s="161"/>
    </row>
    <row r="6" spans="1:19">
      <c r="A6" s="145" t="s">
        <v>49</v>
      </c>
      <c r="B6" s="40"/>
      <c r="C6" s="84"/>
      <c r="D6" s="84"/>
      <c r="E6" s="84"/>
      <c r="F6" s="84"/>
      <c r="G6" s="40"/>
      <c r="H6" s="84"/>
      <c r="I6" s="84"/>
      <c r="J6" s="84"/>
      <c r="K6" s="161"/>
      <c r="L6" s="40"/>
      <c r="M6" s="84"/>
      <c r="N6" s="84"/>
      <c r="O6" s="84"/>
      <c r="P6" s="161"/>
    </row>
    <row r="7" spans="1:19">
      <c r="A7" s="517"/>
      <c r="B7" s="41"/>
      <c r="C7" s="85"/>
      <c r="D7" s="85"/>
      <c r="E7" s="85"/>
      <c r="F7" s="85"/>
      <c r="G7" s="41"/>
      <c r="H7" s="85"/>
      <c r="I7" s="85"/>
      <c r="J7" s="85"/>
      <c r="K7" s="162"/>
      <c r="L7" s="41"/>
      <c r="M7" s="85"/>
      <c r="N7" s="85"/>
      <c r="O7" s="85"/>
      <c r="P7" s="162"/>
    </row>
    <row r="8" spans="1:19">
      <c r="A8" s="145" t="s">
        <v>53</v>
      </c>
      <c r="B8" s="139">
        <f>'Sm Comm TSM Summary'!B8*Inputs!$C$12</f>
        <v>564.95057472916483</v>
      </c>
      <c r="C8" s="37">
        <f>'Sm Comm TSM Summary'!C8*Inputs!$C$12</f>
        <v>2445.3561789978348</v>
      </c>
      <c r="D8" s="37">
        <f>'Sm Comm TSM Summary'!D8*Inputs!$C$12</f>
        <v>8458.8751489189381</v>
      </c>
      <c r="E8" s="37">
        <f>'Sm Comm TSM Summary'!E8*Inputs!$C$12</f>
        <v>12884.039499381299</v>
      </c>
      <c r="F8" s="37">
        <f>'Sm Comm TSM Summary'!F8*Inputs!$C$12</f>
        <v>2081.2999751860907</v>
      </c>
      <c r="G8" s="139">
        <f>'Sm Comm TSM Summary'!G8*Inputs!$C$12</f>
        <v>0</v>
      </c>
      <c r="H8" s="37">
        <f>'Sm Comm TSM Summary'!H8*Inputs!$C$12</f>
        <v>0</v>
      </c>
      <c r="I8" s="37">
        <f>'Sm Comm TSM Summary'!I8*Inputs!$C$12</f>
        <v>0</v>
      </c>
      <c r="J8" s="37">
        <f>'Sm Comm TSM Summary'!J8*Inputs!$C$12</f>
        <v>0</v>
      </c>
      <c r="K8" s="38">
        <f>'Sm Comm TSM Summary'!K8*Inputs!$C$12</f>
        <v>0</v>
      </c>
      <c r="L8" s="139">
        <f>'Sm Comm TSM Summary'!L8*Inputs!$C$12</f>
        <v>564.89145886853748</v>
      </c>
      <c r="M8" s="37">
        <f>'Sm Comm TSM Summary'!M8*Inputs!$C$12</f>
        <v>2445.0186350090771</v>
      </c>
      <c r="N8" s="37">
        <f>'Sm Comm TSM Summary'!N8*Inputs!$C$12</f>
        <v>8456.9163958452045</v>
      </c>
      <c r="O8" s="37">
        <f>'Sm Comm TSM Summary'!O8*Inputs!$C$12</f>
        <v>12832.912358510741</v>
      </c>
      <c r="P8" s="38">
        <f>'Sm Comm TSM Summary'!P8*Inputs!$C$12</f>
        <v>2080.9844689518845</v>
      </c>
      <c r="R8" s="543"/>
      <c r="S8" s="543"/>
    </row>
    <row r="9" spans="1:19">
      <c r="A9" s="145" t="s">
        <v>51</v>
      </c>
      <c r="B9" s="139">
        <f>'Sm Comm TSM Summary'!B9*Inputs!$C$12</f>
        <v>303.72905392202534</v>
      </c>
      <c r="C9" s="37">
        <f>'Sm Comm TSM Summary'!C9*Inputs!$C$12</f>
        <v>570.37959973173861</v>
      </c>
      <c r="D9" s="37">
        <f>'Sm Comm TSM Summary'!D9*Inputs!$C$12</f>
        <v>799.42639773374458</v>
      </c>
      <c r="E9" s="37">
        <f>'Sm Comm TSM Summary'!E9*Inputs!$C$12</f>
        <v>1683.5745981847397</v>
      </c>
      <c r="F9" s="37">
        <f>'Sm Comm TSM Summary'!F9*Inputs!$C$12</f>
        <v>475.83248980503129</v>
      </c>
      <c r="G9" s="139">
        <f>'Sm Comm TSM Summary'!G9*Inputs!$C$12</f>
        <v>3396.4220443713425</v>
      </c>
      <c r="H9" s="37">
        <f>'Sm Comm TSM Summary'!H9*Inputs!$C$12</f>
        <v>3396.4220443713425</v>
      </c>
      <c r="I9" s="37">
        <f>'Sm Comm TSM Summary'!I9*Inputs!$C$12</f>
        <v>3396.4220443713425</v>
      </c>
      <c r="J9" s="37">
        <f>'Sm Comm TSM Summary'!J9*Inputs!$C$12</f>
        <v>5075.863801084749</v>
      </c>
      <c r="K9" s="38">
        <f>'Sm Comm TSM Summary'!K9*Inputs!$C$12</f>
        <v>3648.3383078783536</v>
      </c>
      <c r="L9" s="139">
        <f>'Sm Comm TSM Summary'!L9*Inputs!$C$12</f>
        <v>304.05267020982961</v>
      </c>
      <c r="M9" s="37">
        <f>'Sm Comm TSM Summary'!M9*Inputs!$C$12</f>
        <v>570.76969163219644</v>
      </c>
      <c r="N9" s="37">
        <f>'Sm Comm TSM Summary'!N9*Inputs!$C$12</f>
        <v>800.02776294079274</v>
      </c>
      <c r="O9" s="37">
        <f>'Sm Comm TSM Summary'!O9*Inputs!$C$12</f>
        <v>1697.0360632756126</v>
      </c>
      <c r="P9" s="38">
        <f>'Sm Comm TSM Summary'!P9*Inputs!$C$12</f>
        <v>476.31341296631996</v>
      </c>
      <c r="R9" s="543"/>
      <c r="S9" s="543"/>
    </row>
    <row r="10" spans="1:19">
      <c r="A10" s="145" t="s">
        <v>52</v>
      </c>
      <c r="B10" s="139">
        <f>'Sm Comm TSM Summary'!B10*Inputs!$C$12</f>
        <v>278.86106224823044</v>
      </c>
      <c r="C10" s="37">
        <f>'Sm Comm TSM Summary'!C10*Inputs!$C$12</f>
        <v>304.97803387835336</v>
      </c>
      <c r="D10" s="37">
        <f>'Sm Comm TSM Summary'!D10*Inputs!$C$12</f>
        <v>315.12899242024781</v>
      </c>
      <c r="E10" s="37">
        <f>'Sm Comm TSM Summary'!E10*Inputs!$C$12</f>
        <v>452.39001830603263</v>
      </c>
      <c r="F10" s="37">
        <f>'Sm Comm TSM Summary'!F10*Inputs!$C$12</f>
        <v>295.132712683043</v>
      </c>
      <c r="G10" s="139">
        <f>'Sm Comm TSM Summary'!G10*Inputs!$C$12</f>
        <v>939.38301028660817</v>
      </c>
      <c r="H10" s="37">
        <f>'Sm Comm TSM Summary'!H10*Inputs!$C$12</f>
        <v>939.38301028660817</v>
      </c>
      <c r="I10" s="37">
        <f>'Sm Comm TSM Summary'!I10*Inputs!$C$12</f>
        <v>939.38301028660817</v>
      </c>
      <c r="J10" s="37">
        <f>'Sm Comm TSM Summary'!J10*Inputs!$C$12</f>
        <v>1013.2782740042636</v>
      </c>
      <c r="K10" s="38">
        <f>'Sm Comm TSM Summary'!K10*Inputs!$C$12</f>
        <v>950.46729984425656</v>
      </c>
      <c r="L10" s="139">
        <f>'Sm Comm TSM Summary'!L10*Inputs!$C$12</f>
        <v>278.93017860135626</v>
      </c>
      <c r="M10" s="37">
        <f>'Sm Comm TSM Summary'!M10*Inputs!$C$12</f>
        <v>305.06560377433152</v>
      </c>
      <c r="N10" s="37">
        <f>'Sm Comm TSM Summary'!N10*Inputs!$C$12</f>
        <v>315.27354585728983</v>
      </c>
      <c r="O10" s="37">
        <f>'Sm Comm TSM Summary'!O10*Inputs!$C$12</f>
        <v>454.61576535245416</v>
      </c>
      <c r="P10" s="38">
        <f>'Sm Comm TSM Summary'!P10*Inputs!$C$12</f>
        <v>295.23205547370532</v>
      </c>
      <c r="R10" s="543"/>
      <c r="S10" s="543"/>
    </row>
    <row r="11" spans="1:19">
      <c r="A11" s="518"/>
      <c r="B11" s="42"/>
      <c r="C11" s="86"/>
      <c r="D11" s="86"/>
      <c r="E11" s="86"/>
      <c r="F11" s="86"/>
      <c r="G11" s="42"/>
      <c r="H11" s="86"/>
      <c r="I11" s="86"/>
      <c r="J11" s="86"/>
      <c r="K11" s="375"/>
      <c r="L11" s="42"/>
      <c r="M11" s="86"/>
      <c r="N11" s="86"/>
      <c r="O11" s="86"/>
      <c r="P11" s="375"/>
      <c r="R11" s="543"/>
      <c r="S11" s="543"/>
    </row>
    <row r="12" spans="1:19">
      <c r="A12" s="145" t="s">
        <v>35</v>
      </c>
      <c r="B12" s="142">
        <f t="shared" ref="B12:P12" si="0">SUM(B8:B10)</f>
        <v>1147.5406908994205</v>
      </c>
      <c r="C12" s="34">
        <f t="shared" si="0"/>
        <v>3320.7138126079267</v>
      </c>
      <c r="D12" s="34">
        <f t="shared" si="0"/>
        <v>9573.4305390729314</v>
      </c>
      <c r="E12" s="34">
        <f t="shared" si="0"/>
        <v>15020.004115872071</v>
      </c>
      <c r="F12" s="34">
        <f t="shared" si="0"/>
        <v>2852.265177674165</v>
      </c>
      <c r="G12" s="142">
        <f t="shared" si="0"/>
        <v>4335.8050546579507</v>
      </c>
      <c r="H12" s="34">
        <f t="shared" si="0"/>
        <v>4335.8050546579507</v>
      </c>
      <c r="I12" s="34">
        <f t="shared" si="0"/>
        <v>4335.8050546579507</v>
      </c>
      <c r="J12" s="34">
        <f t="shared" si="0"/>
        <v>6089.1420750890129</v>
      </c>
      <c r="K12" s="44">
        <f t="shared" si="0"/>
        <v>4598.8056077226101</v>
      </c>
      <c r="L12" s="142">
        <f t="shared" si="0"/>
        <v>1147.8743076797232</v>
      </c>
      <c r="M12" s="34">
        <f t="shared" si="0"/>
        <v>3320.8539304156052</v>
      </c>
      <c r="N12" s="34">
        <f t="shared" si="0"/>
        <v>9572.2177046432862</v>
      </c>
      <c r="O12" s="34">
        <f t="shared" si="0"/>
        <v>14984.564187138807</v>
      </c>
      <c r="P12" s="44">
        <f t="shared" si="0"/>
        <v>2852.5299373919097</v>
      </c>
      <c r="R12" s="543"/>
      <c r="S12" s="543"/>
    </row>
    <row r="13" spans="1:19">
      <c r="A13" s="518"/>
      <c r="B13" s="42"/>
      <c r="C13" s="86"/>
      <c r="D13" s="86"/>
      <c r="E13" s="86"/>
      <c r="F13" s="86"/>
      <c r="G13" s="42"/>
      <c r="H13" s="86"/>
      <c r="I13" s="86"/>
      <c r="J13" s="86"/>
      <c r="K13" s="375"/>
      <c r="L13" s="42"/>
      <c r="M13" s="86"/>
      <c r="N13" s="86"/>
      <c r="O13" s="86"/>
      <c r="P13" s="375"/>
    </row>
    <row r="14" spans="1:19">
      <c r="A14" s="145" t="s">
        <v>65</v>
      </c>
      <c r="B14" s="142"/>
      <c r="C14" s="34"/>
      <c r="D14" s="34"/>
      <c r="E14" s="34"/>
      <c r="F14" s="34"/>
      <c r="G14" s="142"/>
      <c r="H14" s="34"/>
      <c r="I14" s="34"/>
      <c r="J14" s="34"/>
      <c r="K14" s="44"/>
      <c r="L14" s="142"/>
      <c r="M14" s="34"/>
      <c r="N14" s="34"/>
      <c r="O14" s="34"/>
      <c r="P14" s="44"/>
    </row>
    <row r="15" spans="1:19">
      <c r="A15" s="519">
        <f>Inputs!C3</f>
        <v>2.7723662892949787E-2</v>
      </c>
      <c r="B15" s="142"/>
      <c r="C15" s="34"/>
      <c r="D15" s="34"/>
      <c r="E15" s="34"/>
      <c r="F15" s="34"/>
      <c r="G15" s="142"/>
      <c r="H15" s="34"/>
      <c r="I15" s="34"/>
      <c r="J15" s="34"/>
      <c r="K15" s="44"/>
      <c r="L15" s="142"/>
      <c r="M15" s="34"/>
      <c r="N15" s="34"/>
      <c r="O15" s="34"/>
      <c r="P15" s="44"/>
    </row>
    <row r="16" spans="1:19">
      <c r="A16" s="40" t="s">
        <v>64</v>
      </c>
      <c r="B16" s="142"/>
      <c r="C16" s="34"/>
      <c r="D16" s="34"/>
      <c r="E16" s="34"/>
      <c r="F16" s="34"/>
      <c r="G16" s="142"/>
      <c r="H16" s="34"/>
      <c r="I16" s="34"/>
      <c r="J16" s="34"/>
      <c r="K16" s="44"/>
      <c r="L16" s="142"/>
      <c r="M16" s="34"/>
      <c r="N16" s="34"/>
      <c r="O16" s="34"/>
      <c r="P16" s="44"/>
    </row>
    <row r="17" spans="1:19">
      <c r="A17" s="53">
        <f>Inputs!C4</f>
        <v>1.5023E-2</v>
      </c>
      <c r="B17" s="142"/>
      <c r="C17" s="34"/>
      <c r="D17" s="34"/>
      <c r="E17" s="34"/>
      <c r="F17" s="34"/>
      <c r="G17" s="142"/>
      <c r="H17" s="34"/>
      <c r="I17" s="34"/>
      <c r="J17" s="34"/>
      <c r="K17" s="44"/>
      <c r="L17" s="142"/>
      <c r="M17" s="34"/>
      <c r="N17" s="34"/>
      <c r="O17" s="34"/>
      <c r="P17" s="44"/>
    </row>
    <row r="18" spans="1:19">
      <c r="A18" s="519"/>
      <c r="B18" s="142"/>
      <c r="C18" s="34"/>
      <c r="D18" s="34"/>
      <c r="E18" s="34"/>
      <c r="F18" s="34"/>
      <c r="G18" s="142"/>
      <c r="H18" s="34"/>
      <c r="I18" s="34"/>
      <c r="J18" s="34"/>
      <c r="K18" s="44"/>
      <c r="L18" s="142"/>
      <c r="M18" s="34"/>
      <c r="N18" s="34"/>
      <c r="O18" s="34"/>
      <c r="P18" s="44"/>
    </row>
    <row r="19" spans="1:19">
      <c r="A19" s="520" t="s">
        <v>111</v>
      </c>
      <c r="B19" s="34">
        <f t="shared" ref="B19:P21" si="1">(B8*(1+$A$15)*(1+$A$17))</f>
        <v>589.33562422504883</v>
      </c>
      <c r="C19" s="34">
        <f t="shared" si="1"/>
        <v>2550.9054679573414</v>
      </c>
      <c r="D19" s="34">
        <f t="shared" si="1"/>
        <v>8823.9868921626312</v>
      </c>
      <c r="E19" s="34">
        <f t="shared" si="1"/>
        <v>13440.155299511165</v>
      </c>
      <c r="F19" s="34">
        <f t="shared" si="1"/>
        <v>2171.1354496167974</v>
      </c>
      <c r="G19" s="142">
        <f t="shared" si="1"/>
        <v>0</v>
      </c>
      <c r="H19" s="34">
        <f t="shared" si="1"/>
        <v>0</v>
      </c>
      <c r="I19" s="34">
        <f t="shared" si="1"/>
        <v>0</v>
      </c>
      <c r="J19" s="34">
        <f t="shared" si="1"/>
        <v>0</v>
      </c>
      <c r="K19" s="44">
        <f t="shared" si="1"/>
        <v>0</v>
      </c>
      <c r="L19" s="142">
        <f t="shared" si="1"/>
        <v>589.27395673733781</v>
      </c>
      <c r="M19" s="34">
        <f t="shared" si="1"/>
        <v>2550.5533545049152</v>
      </c>
      <c r="N19" s="34">
        <f t="shared" si="1"/>
        <v>8821.9435931254266</v>
      </c>
      <c r="O19" s="34">
        <f t="shared" si="1"/>
        <v>13386.821349909933</v>
      </c>
      <c r="P19" s="44">
        <f t="shared" si="1"/>
        <v>2170.806325137949</v>
      </c>
    </row>
    <row r="20" spans="1:19">
      <c r="A20" s="520" t="s">
        <v>51</v>
      </c>
      <c r="B20" s="34">
        <f t="shared" si="1"/>
        <v>316.8389583004344</v>
      </c>
      <c r="C20" s="34">
        <f t="shared" si="1"/>
        <v>594.99898307791659</v>
      </c>
      <c r="D20" s="34">
        <f t="shared" si="1"/>
        <v>833.93216363441468</v>
      </c>
      <c r="E20" s="34">
        <f t="shared" si="1"/>
        <v>1756.2429903293603</v>
      </c>
      <c r="F20" s="34">
        <f t="shared" si="1"/>
        <v>496.37092154520235</v>
      </c>
      <c r="G20" s="142">
        <f t="shared" si="1"/>
        <v>3543.0223371502479</v>
      </c>
      <c r="H20" s="34">
        <f t="shared" si="1"/>
        <v>3543.0223371502479</v>
      </c>
      <c r="I20" s="34">
        <f t="shared" si="1"/>
        <v>3543.0223371502479</v>
      </c>
      <c r="J20" s="34">
        <f t="shared" si="1"/>
        <v>5294.9540995292718</v>
      </c>
      <c r="K20" s="44">
        <f t="shared" si="1"/>
        <v>3805.8121015071019</v>
      </c>
      <c r="L20" s="142">
        <f t="shared" si="1"/>
        <v>317.1765428883852</v>
      </c>
      <c r="M20" s="34">
        <f t="shared" si="1"/>
        <v>595.40591257572567</v>
      </c>
      <c r="N20" s="34">
        <f t="shared" si="1"/>
        <v>834.55948566139534</v>
      </c>
      <c r="O20" s="34">
        <f t="shared" si="1"/>
        <v>1770.2854947309472</v>
      </c>
      <c r="P20" s="44">
        <f t="shared" si="1"/>
        <v>496.87260286767599</v>
      </c>
    </row>
    <row r="21" spans="1:19">
      <c r="A21" s="520" t="s">
        <v>52</v>
      </c>
      <c r="B21" s="34">
        <f t="shared" si="1"/>
        <v>290.89758563553346</v>
      </c>
      <c r="C21" s="34">
        <f t="shared" si="1"/>
        <v>318.14184817280955</v>
      </c>
      <c r="D21" s="34">
        <f t="shared" si="1"/>
        <v>328.7309541165248</v>
      </c>
      <c r="E21" s="34">
        <f t="shared" si="1"/>
        <v>471.91659900404312</v>
      </c>
      <c r="F21" s="34">
        <f t="shared" si="1"/>
        <v>307.87157184798969</v>
      </c>
      <c r="G21" s="142">
        <f t="shared" si="1"/>
        <v>979.92974521543431</v>
      </c>
      <c r="H21" s="34">
        <f t="shared" si="1"/>
        <v>979.92974521543431</v>
      </c>
      <c r="I21" s="34">
        <f t="shared" si="1"/>
        <v>979.92974521543431</v>
      </c>
      <c r="J21" s="34">
        <f t="shared" si="1"/>
        <v>1057.0145616902141</v>
      </c>
      <c r="K21" s="44">
        <f t="shared" si="1"/>
        <v>991.49246768665137</v>
      </c>
      <c r="L21" s="142">
        <f t="shared" si="1"/>
        <v>290.96968526855551</v>
      </c>
      <c r="M21" s="34">
        <f t="shared" si="1"/>
        <v>318.23319786182321</v>
      </c>
      <c r="N21" s="34">
        <f t="shared" si="1"/>
        <v>328.88174693604509</v>
      </c>
      <c r="O21" s="34">
        <f t="shared" si="1"/>
        <v>474.23841631628983</v>
      </c>
      <c r="P21" s="44">
        <f t="shared" si="1"/>
        <v>307.97520258697119</v>
      </c>
    </row>
    <row r="22" spans="1:19">
      <c r="A22" s="519"/>
      <c r="B22" s="142"/>
      <c r="C22" s="34"/>
      <c r="D22" s="34"/>
      <c r="E22" s="34"/>
      <c r="F22" s="34"/>
      <c r="G22" s="142"/>
      <c r="H22" s="34"/>
      <c r="I22" s="34"/>
      <c r="J22" s="34"/>
      <c r="K22" s="44"/>
      <c r="L22" s="142"/>
      <c r="M22" s="34"/>
      <c r="N22" s="34"/>
      <c r="O22" s="34"/>
      <c r="P22" s="44"/>
    </row>
    <row r="23" spans="1:19">
      <c r="A23" s="145" t="s">
        <v>35</v>
      </c>
      <c r="B23" s="142">
        <f t="shared" ref="B23:P23" si="2">SUM(B19:B21)</f>
        <v>1197.0721681610166</v>
      </c>
      <c r="C23" s="34">
        <f t="shared" si="2"/>
        <v>3464.0462992080675</v>
      </c>
      <c r="D23" s="34">
        <f t="shared" si="2"/>
        <v>9986.6500099135701</v>
      </c>
      <c r="E23" s="34">
        <f t="shared" si="2"/>
        <v>15668.314888844568</v>
      </c>
      <c r="F23" s="34">
        <f t="shared" si="2"/>
        <v>2975.3779430099894</v>
      </c>
      <c r="G23" s="142">
        <f t="shared" si="2"/>
        <v>4522.9520823656821</v>
      </c>
      <c r="H23" s="34">
        <f t="shared" si="2"/>
        <v>4522.9520823656821</v>
      </c>
      <c r="I23" s="34">
        <f t="shared" si="2"/>
        <v>4522.9520823656821</v>
      </c>
      <c r="J23" s="34">
        <f t="shared" si="2"/>
        <v>6351.9686612194855</v>
      </c>
      <c r="K23" s="44">
        <f t="shared" si="2"/>
        <v>4797.3045691937532</v>
      </c>
      <c r="L23" s="142">
        <f t="shared" si="2"/>
        <v>1197.4201848942785</v>
      </c>
      <c r="M23" s="34">
        <f t="shared" si="2"/>
        <v>3464.1924649424641</v>
      </c>
      <c r="N23" s="34">
        <f t="shared" si="2"/>
        <v>9985.3848257228674</v>
      </c>
      <c r="O23" s="34">
        <f t="shared" si="2"/>
        <v>15631.34526095717</v>
      </c>
      <c r="P23" s="44">
        <f t="shared" si="2"/>
        <v>2975.6541305925962</v>
      </c>
    </row>
    <row r="24" spans="1:19">
      <c r="A24" s="518"/>
      <c r="B24" s="42"/>
      <c r="C24" s="86"/>
      <c r="D24" s="86"/>
      <c r="E24" s="86"/>
      <c r="F24" s="86"/>
      <c r="G24" s="42"/>
      <c r="H24" s="86"/>
      <c r="I24" s="86"/>
      <c r="J24" s="86"/>
      <c r="K24" s="375"/>
      <c r="L24" s="42"/>
      <c r="M24" s="86"/>
      <c r="N24" s="86"/>
      <c r="O24" s="86"/>
      <c r="P24" s="375"/>
    </row>
    <row r="25" spans="1:19">
      <c r="A25" s="806" t="str">
        <f>'Resid TSM Sum by Rate Schedule'!A25</f>
        <v>Annualized Transformer Cost at 8.05%</v>
      </c>
      <c r="B25" s="147">
        <f>B19*Inputs!$C$5</f>
        <v>47.428942820994735</v>
      </c>
      <c r="C25" s="97">
        <f>C19*Inputs!$C$5</f>
        <v>205.29346031067436</v>
      </c>
      <c r="D25" s="97">
        <f>D19*Inputs!$C$5</f>
        <v>710.14266329464533</v>
      </c>
      <c r="E25" s="97">
        <f>E19*Inputs!$C$5</f>
        <v>1081.6457227475889</v>
      </c>
      <c r="F25" s="97">
        <f>F19*Inputs!$C$5</f>
        <v>174.73007716429336</v>
      </c>
      <c r="G25" s="147">
        <f>G19*Inputs!$C$5</f>
        <v>0</v>
      </c>
      <c r="H25" s="97">
        <f>H19*Inputs!$C$5</f>
        <v>0</v>
      </c>
      <c r="I25" s="97">
        <f>I19*Inputs!$C$5</f>
        <v>0</v>
      </c>
      <c r="J25" s="97">
        <f>J19*Inputs!$C$5</f>
        <v>0</v>
      </c>
      <c r="K25" s="99">
        <f>K19*Inputs!$C$5</f>
        <v>0</v>
      </c>
      <c r="L25" s="147">
        <f>L19*Inputs!$C$5</f>
        <v>47.423979904061952</v>
      </c>
      <c r="M25" s="97">
        <f>M19*Inputs!$C$5</f>
        <v>205.26512269096304</v>
      </c>
      <c r="N25" s="97">
        <f>N19*Inputs!$C$5</f>
        <v>709.97822132097508</v>
      </c>
      <c r="O25" s="97">
        <f>O19*Inputs!$C$5</f>
        <v>1077.3534778160511</v>
      </c>
      <c r="P25" s="99">
        <f>P19*Inputs!$C$5</f>
        <v>174.7035896664286</v>
      </c>
    </row>
    <row r="26" spans="1:19">
      <c r="A26" s="806" t="str">
        <f>'Resid TSM Sum by Rate Schedule'!A26</f>
        <v>Annualized Services Cost at 7.08%</v>
      </c>
      <c r="B26" s="147">
        <f>B20*Inputs!$C$6</f>
        <v>22.424296265590016</v>
      </c>
      <c r="C26" s="97">
        <f>C20*Inputs!$C$6</f>
        <v>42.111088692610714</v>
      </c>
      <c r="D26" s="97">
        <f>D20*Inputs!$C$6</f>
        <v>59.02159886856618</v>
      </c>
      <c r="E26" s="97">
        <f>E20*Inputs!$C$6</f>
        <v>124.2982029128118</v>
      </c>
      <c r="F26" s="97">
        <f>F20*Inputs!$C$6</f>
        <v>35.130681725695773</v>
      </c>
      <c r="G26" s="147">
        <f>G20*Inputs!$C$6</f>
        <v>250.75761828671364</v>
      </c>
      <c r="H26" s="97">
        <f>H20*Inputs!$C$6</f>
        <v>250.75761828671364</v>
      </c>
      <c r="I26" s="97">
        <f>I20*Inputs!$C$6</f>
        <v>250.75761828671364</v>
      </c>
      <c r="J26" s="97">
        <f>J20*Inputs!$C$6</f>
        <v>374.75069378291789</v>
      </c>
      <c r="K26" s="99">
        <f>K20*Inputs!$C$6</f>
        <v>269.3565796111443</v>
      </c>
      <c r="L26" s="147">
        <f>L20*Inputs!$C$6</f>
        <v>22.448188835037637</v>
      </c>
      <c r="M26" s="97">
        <f>M20*Inputs!$C$6</f>
        <v>42.139889152210216</v>
      </c>
      <c r="N26" s="97">
        <f>N20*Inputs!$C$6</f>
        <v>59.065997622628508</v>
      </c>
      <c r="O26" s="97">
        <f>O20*Inputs!$C$6</f>
        <v>125.29206200356619</v>
      </c>
      <c r="P26" s="99">
        <f>P20*Inputs!$C$6</f>
        <v>35.16618825136549</v>
      </c>
    </row>
    <row r="27" spans="1:19" ht="15">
      <c r="A27" s="806" t="str">
        <f>'Resid TSM Sum by Rate Schedule'!A27</f>
        <v>Annualized Meter Cost at 10.78%</v>
      </c>
      <c r="B27" s="628">
        <f>B21*Inputs!$C$7</f>
        <v>31.348999927407984</v>
      </c>
      <c r="C27" s="627">
        <f>C21*Inputs!$C$7</f>
        <v>34.285017366113827</v>
      </c>
      <c r="D27" s="627">
        <f>D21*Inputs!$C$7</f>
        <v>35.426167715421833</v>
      </c>
      <c r="E27" s="627">
        <f>E21*Inputs!$C$7</f>
        <v>50.856776262337092</v>
      </c>
      <c r="F27" s="627">
        <f>F21*Inputs!$C$7</f>
        <v>33.178226152780667</v>
      </c>
      <c r="G27" s="628">
        <f>G21*Inputs!$C$7</f>
        <v>105.60354925087805</v>
      </c>
      <c r="H27" s="627">
        <f>H21*Inputs!$C$7</f>
        <v>105.60354925087805</v>
      </c>
      <c r="I27" s="627">
        <f>I21*Inputs!$C$7</f>
        <v>105.60354925087805</v>
      </c>
      <c r="J27" s="627">
        <f>J21*Inputs!$C$7</f>
        <v>113.9107062208909</v>
      </c>
      <c r="K27" s="626">
        <f>K21*Inputs!$C$7</f>
        <v>106.84962279637999</v>
      </c>
      <c r="L27" s="628">
        <f>L21*Inputs!$C$7</f>
        <v>31.356769848857954</v>
      </c>
      <c r="M27" s="627">
        <f>M21*Inputs!$C$7</f>
        <v>34.294861797747735</v>
      </c>
      <c r="N27" s="627">
        <f>N21*Inputs!$C$7</f>
        <v>35.442418122168476</v>
      </c>
      <c r="O27" s="627">
        <f>O21*Inputs!$C$7</f>
        <v>51.106990270109129</v>
      </c>
      <c r="P27" s="626">
        <f>P21*Inputs!$C$7</f>
        <v>33.189394069563861</v>
      </c>
    </row>
    <row r="28" spans="1:19">
      <c r="A28" s="621" t="s">
        <v>380</v>
      </c>
      <c r="B28" s="630">
        <f t="shared" ref="B28:G28" si="3">SUM(B25:B27)</f>
        <v>101.20223901399274</v>
      </c>
      <c r="C28" s="629">
        <f t="shared" si="3"/>
        <v>281.6895663693989</v>
      </c>
      <c r="D28" s="629">
        <f t="shared" si="3"/>
        <v>804.59042987863336</v>
      </c>
      <c r="E28" s="629">
        <f t="shared" si="3"/>
        <v>1256.8007019227377</v>
      </c>
      <c r="F28" s="629">
        <f t="shared" si="3"/>
        <v>243.03898504276981</v>
      </c>
      <c r="G28" s="630">
        <f t="shared" si="3"/>
        <v>356.36116753759165</v>
      </c>
      <c r="H28" s="629">
        <f t="shared" ref="H28:P28" si="4">SUM(H25:H27)</f>
        <v>356.36116753759165</v>
      </c>
      <c r="I28" s="629">
        <f t="shared" si="4"/>
        <v>356.36116753759165</v>
      </c>
      <c r="J28" s="629">
        <f t="shared" si="4"/>
        <v>488.66140000380881</v>
      </c>
      <c r="K28" s="631">
        <f t="shared" si="4"/>
        <v>376.2062024075243</v>
      </c>
      <c r="L28" s="630">
        <f t="shared" si="4"/>
        <v>101.22893858795754</v>
      </c>
      <c r="M28" s="629">
        <f t="shared" si="4"/>
        <v>281.699873640921</v>
      </c>
      <c r="N28" s="629">
        <f t="shared" si="4"/>
        <v>804.48663706577213</v>
      </c>
      <c r="O28" s="629">
        <f t="shared" si="4"/>
        <v>1253.7525300897264</v>
      </c>
      <c r="P28" s="631">
        <f t="shared" si="4"/>
        <v>243.05917198735796</v>
      </c>
      <c r="S28" s="543"/>
    </row>
    <row r="29" spans="1:19">
      <c r="A29" s="519"/>
      <c r="B29" s="53"/>
      <c r="C29" s="87"/>
      <c r="D29" s="87"/>
      <c r="E29" s="87"/>
      <c r="F29" s="87"/>
      <c r="G29" s="53"/>
      <c r="H29" s="87"/>
      <c r="I29" s="87"/>
      <c r="J29" s="87"/>
      <c r="K29" s="376"/>
      <c r="L29" s="53"/>
      <c r="M29" s="87"/>
      <c r="N29" s="87"/>
      <c r="O29" s="87"/>
      <c r="P29" s="376"/>
    </row>
    <row r="30" spans="1:19">
      <c r="A30" s="40" t="s">
        <v>50</v>
      </c>
      <c r="B30" s="139">
        <f>'Sm Comm TSM Summary'!B$30*Inputs!$C$13</f>
        <v>26.892993865504845</v>
      </c>
      <c r="C30" s="37">
        <f>'Sm Comm TSM Summary'!C$30*Inputs!$C$13</f>
        <v>29.437592847759646</v>
      </c>
      <c r="D30" s="37">
        <f>'Sm Comm TSM Summary'!D$30*Inputs!$C$13</f>
        <v>30.394637612355719</v>
      </c>
      <c r="E30" s="37">
        <f>'Sm Comm TSM Summary'!E$30*Inputs!$C$13</f>
        <v>29.678316282841365</v>
      </c>
      <c r="F30" s="37">
        <f>'Sm Comm TSM Summary'!F$30*Inputs!$C$13</f>
        <v>28.39565119062171</v>
      </c>
      <c r="G30" s="139">
        <f>'Sm Comm TSM Summary'!G$30*Inputs!$C$13</f>
        <v>45.783288648094988</v>
      </c>
      <c r="H30" s="37">
        <f>'Sm Comm TSM Summary'!H$30*Inputs!$C$13</f>
        <v>45.783288648094981</v>
      </c>
      <c r="I30" s="37">
        <f>'Sm Comm TSM Summary'!I$30*Inputs!$C$13</f>
        <v>45.783288648094981</v>
      </c>
      <c r="J30" s="37">
        <f>'Sm Comm TSM Summary'!J$30*Inputs!$C$13</f>
        <v>45.783288648094988</v>
      </c>
      <c r="K30" s="38">
        <f>'Sm Comm TSM Summary'!K$30*Inputs!$C$13</f>
        <v>45.783288648094981</v>
      </c>
      <c r="L30" s="139">
        <f>'Sm Comm TSM Summary'!L$30*Inputs!$C$13</f>
        <v>26.895568156447098</v>
      </c>
      <c r="M30" s="37">
        <f>'Sm Comm TSM Summary'!M$30*Inputs!$C$13</f>
        <v>29.44020424361215</v>
      </c>
      <c r="N30" s="37">
        <f>'Sm Comm TSM Summary'!N$30*Inputs!$C$13</f>
        <v>30.39699759090982</v>
      </c>
      <c r="O30" s="37">
        <f>'Sm Comm TSM Summary'!O$30*Inputs!$C$13</f>
        <v>29.680018203061277</v>
      </c>
      <c r="P30" s="38">
        <f>'Sm Comm TSM Summary'!P$30*Inputs!$C$13</f>
        <v>28.398286999049784</v>
      </c>
    </row>
    <row r="31" spans="1:19" ht="15">
      <c r="A31" s="40" t="s">
        <v>453</v>
      </c>
      <c r="B31" s="730">
        <f>-Inputs!$C$18</f>
        <v>-3.0284021924274875</v>
      </c>
      <c r="C31" s="729">
        <f>-Inputs!$C$18</f>
        <v>-3.0284021924274875</v>
      </c>
      <c r="D31" s="729">
        <f>-Inputs!$C$18</f>
        <v>-3.0284021924274875</v>
      </c>
      <c r="E31" s="729">
        <f>-Inputs!$C$18</f>
        <v>-3.0284021924274875</v>
      </c>
      <c r="F31" s="729">
        <f>-Inputs!$C$18</f>
        <v>-3.0284021924274875</v>
      </c>
      <c r="G31" s="730">
        <f>-Inputs!$C$18</f>
        <v>-3.0284021924274875</v>
      </c>
      <c r="H31" s="729">
        <f>-Inputs!$C$18</f>
        <v>-3.0284021924274875</v>
      </c>
      <c r="I31" s="729">
        <f>-Inputs!$C$18</f>
        <v>-3.0284021924274875</v>
      </c>
      <c r="J31" s="729">
        <f>-Inputs!$C$18</f>
        <v>-3.0284021924274875</v>
      </c>
      <c r="K31" s="731">
        <f>-Inputs!$C$18</f>
        <v>-3.0284021924274875</v>
      </c>
      <c r="L31" s="730">
        <f>-Inputs!$C$18</f>
        <v>-3.0284021924274875</v>
      </c>
      <c r="M31" s="729">
        <f>-Inputs!$C$18</f>
        <v>-3.0284021924274875</v>
      </c>
      <c r="N31" s="729">
        <f>-Inputs!$C$18</f>
        <v>-3.0284021924274875</v>
      </c>
      <c r="O31" s="729">
        <f>-Inputs!$C$18</f>
        <v>-3.0284021924274875</v>
      </c>
      <c r="P31" s="731">
        <f>-Inputs!$C$18</f>
        <v>-3.0284021924274875</v>
      </c>
    </row>
    <row r="32" spans="1:19">
      <c r="A32" s="40" t="s">
        <v>451</v>
      </c>
      <c r="B32" s="139">
        <f>B30+B31</f>
        <v>23.864591673077356</v>
      </c>
      <c r="C32" s="37">
        <f t="shared" ref="C32:P32" si="5">C30+C31</f>
        <v>26.409190655332157</v>
      </c>
      <c r="D32" s="37">
        <f t="shared" si="5"/>
        <v>27.36623541992823</v>
      </c>
      <c r="E32" s="37">
        <f t="shared" si="5"/>
        <v>26.649914090413876</v>
      </c>
      <c r="F32" s="37">
        <f t="shared" si="5"/>
        <v>25.367248998194221</v>
      </c>
      <c r="G32" s="139">
        <f t="shared" si="5"/>
        <v>42.754886455667503</v>
      </c>
      <c r="H32" s="37">
        <f t="shared" si="5"/>
        <v>42.754886455667496</v>
      </c>
      <c r="I32" s="37">
        <f t="shared" si="5"/>
        <v>42.754886455667496</v>
      </c>
      <c r="J32" s="37">
        <f t="shared" si="5"/>
        <v>42.754886455667503</v>
      </c>
      <c r="K32" s="38">
        <f t="shared" si="5"/>
        <v>42.754886455667496</v>
      </c>
      <c r="L32" s="139">
        <f t="shared" si="5"/>
        <v>23.867165964019609</v>
      </c>
      <c r="M32" s="37">
        <f t="shared" si="5"/>
        <v>26.411802051184662</v>
      </c>
      <c r="N32" s="37">
        <f t="shared" si="5"/>
        <v>27.368595398482331</v>
      </c>
      <c r="O32" s="37">
        <f t="shared" si="5"/>
        <v>26.651616010633788</v>
      </c>
      <c r="P32" s="38">
        <f t="shared" si="5"/>
        <v>25.369884806622295</v>
      </c>
      <c r="S32" s="543"/>
    </row>
    <row r="33" spans="1:19">
      <c r="A33" s="146"/>
      <c r="B33" s="139"/>
      <c r="C33" s="37"/>
      <c r="D33" s="37"/>
      <c r="E33" s="37"/>
      <c r="F33" s="37"/>
      <c r="G33" s="139"/>
      <c r="H33" s="37"/>
      <c r="I33" s="37"/>
      <c r="J33" s="37"/>
      <c r="K33" s="38"/>
      <c r="L33" s="139"/>
      <c r="M33" s="37"/>
      <c r="N33" s="37"/>
      <c r="O33" s="37"/>
      <c r="P33" s="38"/>
      <c r="S33" s="543"/>
    </row>
    <row r="34" spans="1:19">
      <c r="A34" s="145" t="s">
        <v>61</v>
      </c>
      <c r="B34" s="139">
        <f>'Sm Comm TSM Summary'!B32*Inputs!$C$14</f>
        <v>56.483965806152284</v>
      </c>
      <c r="C34" s="37">
        <f>'Sm Comm TSM Summary'!C32*Inputs!$C$14</f>
        <v>56.483406407519858</v>
      </c>
      <c r="D34" s="37">
        <f>'Sm Comm TSM Summary'!D32*Inputs!$C$14</f>
        <v>56.4578056390447</v>
      </c>
      <c r="E34" s="37">
        <f>'Sm Comm TSM Summary'!E32*Inputs!$C$14</f>
        <v>56.371892193164172</v>
      </c>
      <c r="F34" s="37">
        <f>'Sm Comm TSM Summary'!F32*Inputs!$C$14</f>
        <v>56.481337178491849</v>
      </c>
      <c r="G34" s="139">
        <f>'Sm Comm TSM Summary'!G32*Inputs!$C$14</f>
        <v>56.488244546548472</v>
      </c>
      <c r="H34" s="37">
        <f>'Sm Comm TSM Summary'!H32*Inputs!$C$14</f>
        <v>56.488244546548472</v>
      </c>
      <c r="I34" s="37">
        <f>'Sm Comm TSM Summary'!I32*Inputs!$C$14</f>
        <v>56.488244546548472</v>
      </c>
      <c r="J34" s="37">
        <f>'Sm Comm TSM Summary'!J32*Inputs!$C$14</f>
        <v>56.488244546548472</v>
      </c>
      <c r="K34" s="38">
        <f>'Sm Comm TSM Summary'!K32*Inputs!$C$14</f>
        <v>56.488244546548472</v>
      </c>
      <c r="L34" s="139">
        <f>'Sm Comm TSM Summary'!L32*Inputs!$C$14</f>
        <v>56.483966253875366</v>
      </c>
      <c r="M34" s="37">
        <f>'Sm Comm TSM Summary'!M32*Inputs!$C$14</f>
        <v>56.483407075350883</v>
      </c>
      <c r="N34" s="37">
        <f>'Sm Comm TSM Summary'!N32*Inputs!$C$14</f>
        <v>56.457812687535487</v>
      </c>
      <c r="O34" s="37">
        <f>'Sm Comm TSM Summary'!O32*Inputs!$C$14</f>
        <v>56.372353908852197</v>
      </c>
      <c r="P34" s="38">
        <f>'Sm Comm TSM Summary'!P32*Inputs!$C$14</f>
        <v>56.481338225586306</v>
      </c>
      <c r="S34" s="543"/>
    </row>
    <row r="35" spans="1:19">
      <c r="A35" s="146"/>
      <c r="B35" s="11"/>
      <c r="C35" s="12"/>
      <c r="D35" s="12"/>
      <c r="E35" s="12"/>
      <c r="F35" s="12"/>
      <c r="G35" s="11"/>
      <c r="H35" s="12"/>
      <c r="I35" s="12"/>
      <c r="J35" s="12"/>
      <c r="K35" s="101"/>
      <c r="L35" s="11"/>
      <c r="M35" s="12"/>
      <c r="N35" s="12"/>
      <c r="O35" s="12"/>
      <c r="P35" s="101"/>
      <c r="S35" s="543"/>
    </row>
    <row r="36" spans="1:19" ht="13.5" thickBot="1">
      <c r="A36" s="622" t="s">
        <v>98</v>
      </c>
      <c r="B36" s="377">
        <f t="shared" ref="B36:P36" si="6">B28+B32+B34</f>
        <v>181.55079649322238</v>
      </c>
      <c r="C36" s="378">
        <f t="shared" si="6"/>
        <v>364.58216343225092</v>
      </c>
      <c r="D36" s="378">
        <f t="shared" si="6"/>
        <v>888.41447093760632</v>
      </c>
      <c r="E36" s="378">
        <f t="shared" si="6"/>
        <v>1339.8225082063159</v>
      </c>
      <c r="F36" s="378">
        <f t="shared" si="6"/>
        <v>324.88757121945588</v>
      </c>
      <c r="G36" s="377">
        <f t="shared" si="6"/>
        <v>455.60429853980759</v>
      </c>
      <c r="H36" s="378">
        <f t="shared" si="6"/>
        <v>455.60429853980759</v>
      </c>
      <c r="I36" s="378">
        <f t="shared" si="6"/>
        <v>455.60429853980759</v>
      </c>
      <c r="J36" s="378">
        <f t="shared" si="6"/>
        <v>587.90453100602474</v>
      </c>
      <c r="K36" s="379">
        <f t="shared" si="6"/>
        <v>475.44933340974023</v>
      </c>
      <c r="L36" s="377">
        <f t="shared" si="6"/>
        <v>181.58007080585253</v>
      </c>
      <c r="M36" s="378">
        <f t="shared" si="6"/>
        <v>364.59508276745657</v>
      </c>
      <c r="N36" s="378">
        <f t="shared" si="6"/>
        <v>888.31304515178988</v>
      </c>
      <c r="O36" s="378">
        <f t="shared" si="6"/>
        <v>1336.7765000092122</v>
      </c>
      <c r="P36" s="379">
        <f t="shared" si="6"/>
        <v>324.91039501956652</v>
      </c>
      <c r="S36" s="543"/>
    </row>
    <row r="37" spans="1:19">
      <c r="A37" s="113"/>
      <c r="B37" s="113"/>
      <c r="C37" s="113"/>
      <c r="D37" s="113"/>
      <c r="E37" s="113"/>
      <c r="F37" s="113"/>
      <c r="G37" s="113"/>
      <c r="H37" s="113"/>
      <c r="I37" s="113"/>
      <c r="J37" s="113"/>
      <c r="K37" s="113"/>
    </row>
    <row r="39" spans="1:19"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</row>
    <row r="40" spans="1:19">
      <c r="A40" t="s">
        <v>3</v>
      </c>
      <c r="B40" s="35"/>
    </row>
    <row r="41" spans="1:19">
      <c r="B41" s="35"/>
    </row>
    <row r="42" spans="1:19">
      <c r="B42" s="35"/>
    </row>
    <row r="43" spans="1:19">
      <c r="B43" s="35"/>
    </row>
    <row r="44" spans="1:19">
      <c r="B44" s="35"/>
    </row>
    <row r="45" spans="1:19">
      <c r="B45" s="35"/>
    </row>
    <row r="48" spans="1:19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</row>
    <row r="60" spans="1:11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</row>
  </sheetData>
  <mergeCells count="4">
    <mergeCell ref="A1:P1"/>
    <mergeCell ref="B2:F2"/>
    <mergeCell ref="G2:K2"/>
    <mergeCell ref="L2:P2"/>
  </mergeCells>
  <printOptions horizontalCentered="1"/>
  <pageMargins left="0.75" right="0.75" top="1" bottom="1" header="0.5" footer="0.5"/>
  <pageSetup scale="45" orientation="portrait" r:id="rId1"/>
  <headerFooter alignWithMargins="0">
    <oddFooter>&amp;L&amp;F
&amp;A&amp;R&amp;P of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77">
    <tabColor rgb="FF00642D"/>
  </sheetPr>
  <dimension ref="A1:AC62"/>
  <sheetViews>
    <sheetView zoomScaleNormal="100" workbookViewId="0">
      <selection activeCell="D17" sqref="D17"/>
    </sheetView>
  </sheetViews>
  <sheetFormatPr defaultRowHeight="12.75"/>
  <cols>
    <col min="1" max="1" width="39" customWidth="1"/>
    <col min="2" max="2" width="12.85546875" bestFit="1" customWidth="1"/>
    <col min="3" max="4" width="11.28515625" bestFit="1" customWidth="1"/>
    <col min="5" max="6" width="12.85546875" bestFit="1" customWidth="1"/>
    <col min="7" max="8" width="11.28515625" bestFit="1" customWidth="1"/>
    <col min="9" max="9" width="12.85546875" bestFit="1" customWidth="1"/>
    <col min="10" max="10" width="12.85546875" customWidth="1"/>
    <col min="11" max="11" width="12.28515625" customWidth="1"/>
    <col min="12" max="12" width="12.28515625" bestFit="1" customWidth="1"/>
    <col min="13" max="13" width="11.28515625" bestFit="1" customWidth="1"/>
    <col min="14" max="14" width="12.85546875" customWidth="1"/>
    <col min="15" max="16" width="11.28515625" bestFit="1" customWidth="1"/>
    <col min="17" max="18" width="12.85546875" bestFit="1" customWidth="1"/>
    <col min="19" max="21" width="11.28515625" bestFit="1" customWidth="1"/>
    <col min="22" max="23" width="12.85546875" bestFit="1" customWidth="1"/>
    <col min="24" max="25" width="10.28515625" customWidth="1"/>
    <col min="26" max="29" width="13.85546875" customWidth="1"/>
  </cols>
  <sheetData>
    <row r="1" spans="1:29" ht="18.75" thickBot="1">
      <c r="A1" s="841" t="s">
        <v>411</v>
      </c>
      <c r="B1" s="841"/>
      <c r="C1" s="841"/>
      <c r="D1" s="841"/>
      <c r="E1" s="841"/>
      <c r="F1" s="841"/>
      <c r="G1" s="841"/>
      <c r="H1" s="841"/>
      <c r="I1" s="841"/>
      <c r="J1" s="841"/>
      <c r="K1" s="841"/>
      <c r="L1" s="841"/>
      <c r="M1" s="841"/>
      <c r="N1" s="841"/>
      <c r="O1" s="841"/>
      <c r="P1" s="841"/>
      <c r="Q1" s="841"/>
      <c r="R1" s="841"/>
      <c r="S1" s="841"/>
      <c r="T1" s="841"/>
      <c r="U1" s="841"/>
      <c r="V1" s="841"/>
      <c r="W1" s="841"/>
      <c r="X1" s="841"/>
      <c r="Y1" s="841"/>
    </row>
    <row r="2" spans="1:29" ht="13.5" thickBot="1">
      <c r="A2" s="131"/>
      <c r="B2" s="834" t="s">
        <v>132</v>
      </c>
      <c r="C2" s="835"/>
      <c r="D2" s="835"/>
      <c r="E2" s="835"/>
      <c r="F2" s="835"/>
      <c r="G2" s="835"/>
      <c r="H2" s="835"/>
      <c r="I2" s="835"/>
      <c r="J2" s="835"/>
      <c r="K2" s="835"/>
      <c r="L2" s="835"/>
      <c r="M2" s="835"/>
      <c r="N2" s="835"/>
      <c r="O2" s="835"/>
      <c r="P2" s="835"/>
      <c r="Q2" s="835"/>
      <c r="R2" s="835"/>
      <c r="S2" s="835"/>
      <c r="T2" s="835"/>
      <c r="U2" s="837"/>
      <c r="V2" s="834" t="s">
        <v>133</v>
      </c>
      <c r="W2" s="835"/>
      <c r="X2" s="835"/>
      <c r="Y2" s="837"/>
      <c r="Z2" s="834" t="s">
        <v>412</v>
      </c>
      <c r="AA2" s="835"/>
      <c r="AB2" s="835"/>
      <c r="AC2" s="837"/>
    </row>
    <row r="3" spans="1:29">
      <c r="A3" s="196"/>
      <c r="B3" s="842" t="s">
        <v>127</v>
      </c>
      <c r="C3" s="843"/>
      <c r="D3" s="843"/>
      <c r="E3" s="844"/>
      <c r="F3" s="842" t="s">
        <v>114</v>
      </c>
      <c r="G3" s="843"/>
      <c r="H3" s="843"/>
      <c r="I3" s="844"/>
      <c r="J3" s="842" t="s">
        <v>115</v>
      </c>
      <c r="K3" s="843"/>
      <c r="L3" s="843"/>
      <c r="M3" s="844"/>
      <c r="N3" s="842" t="s">
        <v>113</v>
      </c>
      <c r="O3" s="843"/>
      <c r="P3" s="843"/>
      <c r="Q3" s="844"/>
      <c r="R3" s="836" t="s">
        <v>138</v>
      </c>
      <c r="S3" s="843"/>
      <c r="T3" s="843"/>
      <c r="U3" s="844"/>
      <c r="V3" s="671"/>
      <c r="W3" s="672"/>
      <c r="X3" s="672"/>
      <c r="Y3" s="673"/>
      <c r="Z3" s="671"/>
      <c r="AA3" s="672"/>
      <c r="AB3" s="672"/>
      <c r="AC3" s="673"/>
    </row>
    <row r="4" spans="1:29" ht="13.5" thickBot="1">
      <c r="A4" s="102" t="s">
        <v>4</v>
      </c>
      <c r="B4" s="668" t="s">
        <v>36</v>
      </c>
      <c r="C4" s="669" t="s">
        <v>37</v>
      </c>
      <c r="D4" s="669" t="s">
        <v>38</v>
      </c>
      <c r="E4" s="670" t="s">
        <v>41</v>
      </c>
      <c r="F4" s="668" t="s">
        <v>36</v>
      </c>
      <c r="G4" s="669" t="s">
        <v>37</v>
      </c>
      <c r="H4" s="669" t="s">
        <v>38</v>
      </c>
      <c r="I4" s="670" t="s">
        <v>41</v>
      </c>
      <c r="J4" s="668" t="s">
        <v>36</v>
      </c>
      <c r="K4" s="669" t="s">
        <v>37</v>
      </c>
      <c r="L4" s="669" t="s">
        <v>40</v>
      </c>
      <c r="M4" s="670" t="s">
        <v>41</v>
      </c>
      <c r="N4" s="668" t="s">
        <v>36</v>
      </c>
      <c r="O4" s="669" t="s">
        <v>37</v>
      </c>
      <c r="P4" s="669" t="s">
        <v>40</v>
      </c>
      <c r="Q4" s="670" t="s">
        <v>41</v>
      </c>
      <c r="R4" s="668" t="s">
        <v>36</v>
      </c>
      <c r="S4" s="669" t="s">
        <v>37</v>
      </c>
      <c r="T4" s="669" t="s">
        <v>38</v>
      </c>
      <c r="U4" s="670" t="s">
        <v>41</v>
      </c>
      <c r="V4" s="668" t="s">
        <v>36</v>
      </c>
      <c r="W4" s="669" t="s">
        <v>37</v>
      </c>
      <c r="X4" s="669" t="s">
        <v>40</v>
      </c>
      <c r="Y4" s="670" t="s">
        <v>41</v>
      </c>
      <c r="Z4" s="668" t="s">
        <v>36</v>
      </c>
      <c r="AA4" s="669" t="s">
        <v>37</v>
      </c>
      <c r="AB4" s="669" t="s">
        <v>40</v>
      </c>
      <c r="AC4" s="670" t="s">
        <v>41</v>
      </c>
    </row>
    <row r="5" spans="1:29">
      <c r="A5" s="133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5" t="s">
        <v>42</v>
      </c>
      <c r="K5" s="6" t="s">
        <v>42</v>
      </c>
      <c r="L5" s="6" t="s">
        <v>42</v>
      </c>
      <c r="M5" s="7" t="s">
        <v>43</v>
      </c>
      <c r="N5" s="5" t="s">
        <v>42</v>
      </c>
      <c r="O5" s="6" t="s">
        <v>42</v>
      </c>
      <c r="P5" s="6" t="s">
        <v>42</v>
      </c>
      <c r="Q5" s="7" t="s">
        <v>43</v>
      </c>
      <c r="R5" s="5" t="s">
        <v>42</v>
      </c>
      <c r="S5" s="6" t="s">
        <v>42</v>
      </c>
      <c r="T5" s="6" t="s">
        <v>42</v>
      </c>
      <c r="U5" s="7" t="s">
        <v>43</v>
      </c>
      <c r="V5" s="132" t="s">
        <v>42</v>
      </c>
      <c r="W5" s="8" t="s">
        <v>42</v>
      </c>
      <c r="X5" s="8" t="s">
        <v>42</v>
      </c>
      <c r="Y5" s="9" t="s">
        <v>43</v>
      </c>
      <c r="Z5" s="132" t="s">
        <v>42</v>
      </c>
      <c r="AA5" s="8" t="s">
        <v>42</v>
      </c>
      <c r="AB5" s="8" t="s">
        <v>42</v>
      </c>
      <c r="AC5" s="9" t="s">
        <v>43</v>
      </c>
    </row>
    <row r="6" spans="1:29">
      <c r="A6" s="112"/>
      <c r="B6" s="137"/>
      <c r="C6" s="8"/>
      <c r="D6" s="8"/>
      <c r="E6" s="9"/>
      <c r="F6" s="132"/>
      <c r="G6" s="8"/>
      <c r="H6" s="8"/>
      <c r="I6" s="9"/>
      <c r="J6" s="132"/>
      <c r="K6" s="8"/>
      <c r="L6" s="8"/>
      <c r="M6" s="9"/>
      <c r="N6" s="132"/>
      <c r="O6" s="8"/>
      <c r="P6" s="8"/>
      <c r="Q6" s="9"/>
      <c r="R6" s="132"/>
      <c r="S6" s="8"/>
      <c r="T6" s="8"/>
      <c r="U6" s="9"/>
      <c r="V6" s="132"/>
      <c r="W6" s="8"/>
      <c r="X6" s="8"/>
      <c r="Y6" s="9"/>
      <c r="Z6" s="132"/>
      <c r="AA6" s="8"/>
      <c r="AB6" s="8"/>
      <c r="AC6" s="9"/>
    </row>
    <row r="7" spans="1:29">
      <c r="A7" s="153" t="s">
        <v>5</v>
      </c>
      <c r="B7" s="137">
        <f>'Sm Comm Cust Fcst'!$B8*'Non-Residential TSM UC Adj'!B7</f>
        <v>6744631.5029812958</v>
      </c>
      <c r="C7" s="23">
        <f>'Sm Comm Cust Fcst'!$B8*'Non-Residential TSM UC Adj'!C7</f>
        <v>2599473.0512529039</v>
      </c>
      <c r="D7" s="23">
        <f>'Sm Comm Cust Fcst'!$B8*'Non-Residential TSM UC Adj'!D7</f>
        <v>5429896.2789117107</v>
      </c>
      <c r="E7" s="45">
        <f>IF(SUM(B7:D7)=0,0,SUM(B7:D7)/'Sm Comm Cust Fcst'!B8)</f>
        <v>637.49733907857217</v>
      </c>
      <c r="F7" s="137">
        <f>'Sm Comm Cust Fcst'!$C8*'Non-Residential TSM UC Adj'!F7</f>
        <v>288741.20425874571</v>
      </c>
      <c r="G7" s="23">
        <f>'Sm Comm Cust Fcst'!$C8*'Non-Residential TSM UC Adj'!G7</f>
        <v>523835.65926146152</v>
      </c>
      <c r="H7" s="23">
        <f>'Sm Comm Cust Fcst'!$C8*'Non-Residential TSM UC Adj'!H7</f>
        <v>259214.84560676178</v>
      </c>
      <c r="I7" s="45">
        <f>IF(SUM(F7:H7)=0,0,SUM(F7:H7)/'Sm Comm Cust Fcst'!C8)</f>
        <v>1247.7202667368674</v>
      </c>
      <c r="J7" s="137">
        <f>'Sm Comm Cust Fcst'!$D8*'Non-Residential TSM UC Adj'!J7</f>
        <v>2791434.308543528</v>
      </c>
      <c r="K7" s="23">
        <f>'Sm Comm Cust Fcst'!$D8*'Non-Residential TSM UC Adj'!K7</f>
        <v>4816360.9276449624</v>
      </c>
      <c r="L7" s="23">
        <f>'Sm Comm Cust Fcst'!$D8*'Non-Residential TSM UC Adj'!L7</f>
        <v>2383328.1147871995</v>
      </c>
      <c r="M7" s="45">
        <f>IF(SUM(J7:L7)=0,0,SUM(J7:L7)/'Sm Comm Cust Fcst'!D8)</f>
        <v>1265.0194164314621</v>
      </c>
      <c r="N7" s="137">
        <f>'Sm Comm Cust Fcst'!$E8*'Non-Residential TSM UC Adj'!N7</f>
        <v>395651.30798839411</v>
      </c>
      <c r="O7" s="23">
        <f>'Sm Comm Cust Fcst'!$E8*'Non-Residential TSM UC Adj'!O7</f>
        <v>578719.48852052039</v>
      </c>
      <c r="P7" s="23">
        <f>'Sm Comm Cust Fcst'!$E8*'Non-Residential TSM UC Adj'!P7</f>
        <v>286373.56051317451</v>
      </c>
      <c r="Q7" s="45">
        <f>IF(SUM(N7:P7)=0,0,SUM(N7:P7)/'Sm Comm Cust Fcst'!E8)</f>
        <v>1328.4977418567851</v>
      </c>
      <c r="R7" s="137">
        <f>B7+F7+J7+N7</f>
        <v>10220458.323771963</v>
      </c>
      <c r="S7" s="23">
        <f t="shared" ref="S7:T23" si="0">C7+G7+K7+O7</f>
        <v>8518389.126679847</v>
      </c>
      <c r="T7" s="23">
        <f t="shared" si="0"/>
        <v>8358812.7998188464</v>
      </c>
      <c r="U7" s="45">
        <f>IF(SUM(R7:T7)=0,0,SUM(R7:T7)/'Sm Comm Cust Fcst'!F8)</f>
        <v>824.11302120588357</v>
      </c>
      <c r="V7" s="137">
        <f>'Sm Comm Cust Fcst'!$G8*'Non-Residential TSM UC Adj'!R7</f>
        <v>0</v>
      </c>
      <c r="W7" s="23">
        <f>'Sm Comm Cust Fcst'!$G8*'Non-Residential TSM UC Adj'!S7</f>
        <v>15649.636564711098</v>
      </c>
      <c r="X7" s="23">
        <f>'Sm Comm Cust Fcst'!$G8*'Non-Residential TSM UC Adj'!T7</f>
        <v>4328.3792514574707</v>
      </c>
      <c r="Y7" s="45">
        <f>IF(SUM(V7:X7)=0,0,SUM(V7:X7)/'Sm Comm Cust Fcst'!G8)</f>
        <v>3995.6031632337135</v>
      </c>
      <c r="Z7" s="137">
        <f>R7+V7</f>
        <v>10220458.323771963</v>
      </c>
      <c r="AA7" s="23">
        <f t="shared" ref="AA7:AB23" si="1">S7+W7</f>
        <v>8534038.7632445581</v>
      </c>
      <c r="AB7" s="23">
        <f t="shared" si="1"/>
        <v>8363141.1790703041</v>
      </c>
      <c r="AC7" s="45">
        <f>IF(SUM(Z7:AB7)=0,0,SUM(Z7:AB7)/'Sm Comm Cust Fcst'!H8)</f>
        <v>824.59521577835028</v>
      </c>
    </row>
    <row r="8" spans="1:29">
      <c r="A8" s="513" t="s">
        <v>251</v>
      </c>
      <c r="B8" s="137">
        <f>'Sm Comm Cust Fcst'!$B9*'Non-Residential TSM UC Adj'!B8</f>
        <v>7075533.1650693109</v>
      </c>
      <c r="C8" s="23">
        <f>'Sm Comm Cust Fcst'!$B9*'Non-Residential TSM UC Adj'!C8</f>
        <v>909002.35630435951</v>
      </c>
      <c r="D8" s="23">
        <f>'Sm Comm Cust Fcst'!$B9*'Non-Residential TSM UC Adj'!D8</f>
        <v>1898765.024565286</v>
      </c>
      <c r="E8" s="45">
        <f>IF(SUM(B8:D8)=0,0,SUM(B8:D8)/'Sm Comm Cust Fcst'!B9)</f>
        <v>1219.5583102096443</v>
      </c>
      <c r="F8" s="137">
        <f>'Sm Comm Cust Fcst'!$C9*'Non-Residential TSM UC Adj'!F8</f>
        <v>748239.72139693599</v>
      </c>
      <c r="G8" s="23">
        <f>'Sm Comm Cust Fcst'!$C9*'Non-Residential TSM UC Adj'!G8</f>
        <v>452486.68122468505</v>
      </c>
      <c r="H8" s="23">
        <f>'Sm Comm Cust Fcst'!$C9*'Non-Residential TSM UC Adj'!H8</f>
        <v>223908.5162284252</v>
      </c>
      <c r="I8" s="45">
        <f>IF(SUM(F8:H8)=0,0,SUM(F8:H8)/'Sm Comm Cust Fcst'!C9)</f>
        <v>1919.9931520890109</v>
      </c>
      <c r="J8" s="137">
        <f>'Sm Comm Cust Fcst'!$D9*'Non-Residential TSM UC Adj'!J8</f>
        <v>8642560.5402399208</v>
      </c>
      <c r="K8" s="23">
        <f>'Sm Comm Cust Fcst'!$D9*'Non-Residential TSM UC Adj'!K8</f>
        <v>4970645.469895428</v>
      </c>
      <c r="L8" s="23">
        <f>'Sm Comm Cust Fcst'!$D9*'Non-Residential TSM UC Adj'!L8</f>
        <v>2459674.2800241155</v>
      </c>
      <c r="M8" s="45">
        <f>IF(SUM(J8:L8)=0,0,SUM(J8:L8)/'Sm Comm Cust Fcst'!D9)</f>
        <v>1971.8906011727966</v>
      </c>
      <c r="N8" s="137">
        <f>'Sm Comm Cust Fcst'!$E9*'Non-Residential TSM UC Adj'!N8</f>
        <v>780462.85411409242</v>
      </c>
      <c r="O8" s="23">
        <f>'Sm Comm Cust Fcst'!$E9*'Non-Residential TSM UC Adj'!O8</f>
        <v>380527.88286280789</v>
      </c>
      <c r="P8" s="23">
        <f>'Sm Comm Cust Fcst'!$E9*'Non-Residential TSM UC Adj'!P8</f>
        <v>188300.42335112847</v>
      </c>
      <c r="Q8" s="45">
        <f>IF(SUM(N8:P8)=0,0,SUM(N8:P8)/'Sm Comm Cust Fcst'!E9)</f>
        <v>2162.3255774487639</v>
      </c>
      <c r="R8" s="137">
        <f>B8+F8+J8+N8</f>
        <v>17246796.280820262</v>
      </c>
      <c r="S8" s="23">
        <f>C8+G8+K8+O8</f>
        <v>6712662.390287281</v>
      </c>
      <c r="T8" s="23">
        <f>D8+H8+L8+P8</f>
        <v>4770648.2441689549</v>
      </c>
      <c r="U8" s="45">
        <f>IF(SUM(R8:T8)=0,0,SUM(R8:T8)/'Sm Comm Cust Fcst'!F9)</f>
        <v>1630.4470186298449</v>
      </c>
      <c r="V8" s="137">
        <f>'Sm Comm Cust Fcst'!$G9*'Non-Residential TSM UC Adj'!R8</f>
        <v>0</v>
      </c>
      <c r="W8" s="23">
        <f>'Sm Comm Cust Fcst'!$G9*'Non-Residential TSM UC Adj'!S8</f>
        <v>3129.9273129422195</v>
      </c>
      <c r="X8" s="23">
        <f>'Sm Comm Cust Fcst'!$G9*'Non-Residential TSM UC Adj'!T8</f>
        <v>865.67585029149416</v>
      </c>
      <c r="Y8" s="45">
        <f>IF(SUM(V8:X8)=0,0,SUM(V8:X8)/'Sm Comm Cust Fcst'!G9)</f>
        <v>3995.6031632337135</v>
      </c>
      <c r="Z8" s="137">
        <f>R8+V8</f>
        <v>17246796.280820262</v>
      </c>
      <c r="AA8" s="23">
        <f>S8+W8</f>
        <v>6715792.3176002232</v>
      </c>
      <c r="AB8" s="23">
        <f>T8+X8</f>
        <v>4771513.9200192466</v>
      </c>
      <c r="AC8" s="45">
        <f>IF(SUM(Z8:AB8)=0,0,SUM(Z8:AB8)/'Sm Comm Cust Fcst'!H9)</f>
        <v>1630.5812347315702</v>
      </c>
    </row>
    <row r="9" spans="1:29">
      <c r="A9" s="513" t="s">
        <v>252</v>
      </c>
      <c r="B9" s="137">
        <f>'Sm Comm Cust Fcst'!$B10*'Non-Residential TSM UC Adj'!B8</f>
        <v>5449836.8727002265</v>
      </c>
      <c r="C9" s="23">
        <f>'Sm Comm Cust Fcst'!$B10*'Non-Residential TSM UC Adj'!C8</f>
        <v>700147.17522850586</v>
      </c>
      <c r="D9" s="23">
        <f>'Sm Comm Cust Fcst'!$B10*'Non-Residential TSM UC Adj'!D8</f>
        <v>1462498.9243998663</v>
      </c>
      <c r="E9" s="45">
        <f>IF(SUM(B9:D9)=0,0,SUM(B9:D9)/'Sm Comm Cust Fcst'!B10)</f>
        <v>1219.5583102096439</v>
      </c>
      <c r="F9" s="137">
        <f>'Sm Comm Cust Fcst'!$C10*'Non-Residential TSM UC Adj'!F8</f>
        <v>784542.45720595168</v>
      </c>
      <c r="G9" s="23">
        <f>'Sm Comm Cust Fcst'!$C10*'Non-Residential TSM UC Adj'!G8</f>
        <v>474440.21292830858</v>
      </c>
      <c r="H9" s="23">
        <f>'Sm Comm Cust Fcst'!$C10*'Non-Residential TSM UC Adj'!H8</f>
        <v>234772.00219099029</v>
      </c>
      <c r="I9" s="45">
        <f>IF(SUM(F9:H9)=0,0,SUM(F9:H9)/'Sm Comm Cust Fcst'!C10)</f>
        <v>1919.9931520890111</v>
      </c>
      <c r="J9" s="137">
        <f>'Sm Comm Cust Fcst'!$D10*'Non-Residential TSM UC Adj'!J8</f>
        <v>9674239.034369899</v>
      </c>
      <c r="K9" s="23">
        <f>'Sm Comm Cust Fcst'!$D10*'Non-Residential TSM UC Adj'!K8</f>
        <v>5564000.6462183641</v>
      </c>
      <c r="L9" s="23">
        <f>'Sm Comm Cust Fcst'!$D10*'Non-Residential TSM UC Adj'!L8</f>
        <v>2753290.1645123335</v>
      </c>
      <c r="M9" s="45">
        <f>IF(SUM(J9:L9)=0,0,SUM(J9:L9)/'Sm Comm Cust Fcst'!D10)</f>
        <v>1971.8906011727966</v>
      </c>
      <c r="N9" s="137">
        <f>'Sm Comm Cust Fcst'!$E10*'Non-Residential TSM UC Adj'!N8</f>
        <v>841749.20003010286</v>
      </c>
      <c r="O9" s="23">
        <f>'Sm Comm Cust Fcst'!$E10*'Non-Residential TSM UC Adj'!O8</f>
        <v>410409.07879273995</v>
      </c>
      <c r="P9" s="23">
        <f>'Sm Comm Cust Fcst'!$E10*'Non-Residential TSM UC Adj'!P8</f>
        <v>203086.83480017539</v>
      </c>
      <c r="Q9" s="45">
        <f>IF(SUM(N9:P9)=0,0,SUM(N9:P9)/'Sm Comm Cust Fcst'!E10)</f>
        <v>2162.3255774487639</v>
      </c>
      <c r="R9" s="137">
        <f t="shared" ref="R9:T38" si="2">B9+F9+J9+N9</f>
        <v>16750367.564306181</v>
      </c>
      <c r="S9" s="23">
        <f t="shared" si="0"/>
        <v>7148997.1131679183</v>
      </c>
      <c r="T9" s="23">
        <f t="shared" si="0"/>
        <v>4653647.9259033659</v>
      </c>
      <c r="U9" s="45">
        <f>IF(SUM(R9:T9)=0,0,SUM(R9:T9)/'Sm Comm Cust Fcst'!F10)</f>
        <v>1697.8660048390002</v>
      </c>
      <c r="V9" s="137">
        <f>'Sm Comm Cust Fcst'!$G10*'Non-Residential TSM UC Adj'!R8</f>
        <v>0</v>
      </c>
      <c r="W9" s="23">
        <f>'Sm Comm Cust Fcst'!$G10*'Non-Residential TSM UC Adj'!S8</f>
        <v>0</v>
      </c>
      <c r="X9" s="23">
        <f>'Sm Comm Cust Fcst'!$G10*'Non-Residential TSM UC Adj'!T8</f>
        <v>0</v>
      </c>
      <c r="Y9" s="45">
        <f>IF(SUM(V9:X9)=0,0,SUM(V9:X9)/'Sm Comm Cust Fcst'!G10)</f>
        <v>0</v>
      </c>
      <c r="Z9" s="137">
        <f t="shared" ref="Z9:AB38" si="3">R9+V9</f>
        <v>16750367.564306181</v>
      </c>
      <c r="AA9" s="23">
        <f t="shared" si="1"/>
        <v>7148997.1131679183</v>
      </c>
      <c r="AB9" s="23">
        <f t="shared" si="1"/>
        <v>4653647.9259033659</v>
      </c>
      <c r="AC9" s="45">
        <f>IF(SUM(Z9:AB9)=0,0,SUM(Z9:AB9)/'Sm Comm Cust Fcst'!H10)</f>
        <v>1697.8660048390002</v>
      </c>
    </row>
    <row r="10" spans="1:29">
      <c r="A10" s="155" t="s">
        <v>7</v>
      </c>
      <c r="B10" s="137">
        <f>'Sm Comm Cust Fcst'!$B11*'Non-Residential TSM UC Adj'!B9</f>
        <v>8340642.6858226955</v>
      </c>
      <c r="C10" s="23">
        <f>'Sm Comm Cust Fcst'!$B11*'Non-Residential TSM UC Adj'!C9</f>
        <v>1510373.6619486916</v>
      </c>
      <c r="D10" s="23">
        <f>'Sm Comm Cust Fcst'!$B11*'Non-Residential TSM UC Adj'!D9</f>
        <v>2238265.3355962709</v>
      </c>
      <c r="E10" s="45">
        <f>IF(SUM(B10:D10)=0,0,SUM(B10:D10)/'Sm Comm Cust Fcst'!B11)</f>
        <v>1265.495832028437</v>
      </c>
      <c r="F10" s="137">
        <f>'Sm Comm Cust Fcst'!$C11*'Non-Residential TSM UC Adj'!F9</f>
        <v>3678677.2286469303</v>
      </c>
      <c r="G10" s="23">
        <f>'Sm Comm Cust Fcst'!$C11*'Non-Residential TSM UC Adj'!G9</f>
        <v>1310164.4604649071</v>
      </c>
      <c r="H10" s="23">
        <f>'Sm Comm Cust Fcst'!$C11*'Non-Residential TSM UC Adj'!H9</f>
        <v>550416.62210329855</v>
      </c>
      <c r="I10" s="45">
        <f>IF(SUM(F10:H10)=0,0,SUM(F10:H10)/'Sm Comm Cust Fcst'!C11)</f>
        <v>3036.8740741311053</v>
      </c>
      <c r="J10" s="137">
        <f>'Sm Comm Cust Fcst'!$D11*'Non-Residential TSM UC Adj'!J9</f>
        <v>37093772.290486246</v>
      </c>
      <c r="K10" s="23">
        <f>'Sm Comm Cust Fcst'!$D11*'Non-Residential TSM UC Adj'!K9</f>
        <v>12564362.249151401</v>
      </c>
      <c r="L10" s="23">
        <f>'Sm Comm Cust Fcst'!$D11*'Non-Residential TSM UC Adj'!L9</f>
        <v>5278447.1238107998</v>
      </c>
      <c r="M10" s="45">
        <f>IF(SUM(J10:L10)=0,0,SUM(J10:L10)/'Sm Comm Cust Fcst'!D11)</f>
        <v>3140.6689722986762</v>
      </c>
      <c r="N10" s="137">
        <f>'Sm Comm Cust Fcst'!$E11*'Non-Residential TSM UC Adj'!N9</f>
        <v>4995462.5630315468</v>
      </c>
      <c r="O10" s="23">
        <f>'Sm Comm Cust Fcst'!$E11*'Non-Residential TSM UC Adj'!O9</f>
        <v>1434428.9624717212</v>
      </c>
      <c r="P10" s="23">
        <f>'Sm Comm Cust Fcst'!$E11*'Non-Residential TSM UC Adj'!P9</f>
        <v>602621.70742340304</v>
      </c>
      <c r="Q10" s="45">
        <f>IF(SUM(N10:P10)=0,0,SUM(N10:P10)/'Sm Comm Cust Fcst'!E11)</f>
        <v>3521.5389248506117</v>
      </c>
      <c r="R10" s="137">
        <f t="shared" si="2"/>
        <v>54108554.767987423</v>
      </c>
      <c r="S10" s="23">
        <f t="shared" si="0"/>
        <v>16819329.334036719</v>
      </c>
      <c r="T10" s="23">
        <f t="shared" si="0"/>
        <v>8669750.7889337726</v>
      </c>
      <c r="U10" s="45">
        <f>IF(SUM(R10:T10)=0,0,SUM(R10:T10)/'Sm Comm Cust Fcst'!F11)</f>
        <v>2578.8127678013966</v>
      </c>
      <c r="V10" s="137">
        <f>'Sm Comm Cust Fcst'!$G11*'Non-Residential TSM UC Adj'!R9</f>
        <v>0</v>
      </c>
      <c r="W10" s="23">
        <f>'Sm Comm Cust Fcst'!$G11*'Non-Residential TSM UC Adj'!S9</f>
        <v>9389.781938826658</v>
      </c>
      <c r="X10" s="23">
        <f>'Sm Comm Cust Fcst'!$G11*'Non-Residential TSM UC Adj'!T9</f>
        <v>2597.0275508744826</v>
      </c>
      <c r="Y10" s="45">
        <f>IF(SUM(V10:X10)=0,0,SUM(V10:X10)/'Sm Comm Cust Fcst'!G11)</f>
        <v>3995.6031632337131</v>
      </c>
      <c r="Z10" s="137">
        <f t="shared" si="3"/>
        <v>54108554.767987423</v>
      </c>
      <c r="AA10" s="23">
        <f t="shared" si="1"/>
        <v>16828719.115975544</v>
      </c>
      <c r="AB10" s="23">
        <f t="shared" si="1"/>
        <v>8672347.8164846469</v>
      </c>
      <c r="AC10" s="45">
        <f>IF(SUM(Z10:AB10)=0,0,SUM(Z10:AB10)/'Sm Comm Cust Fcst'!H11)</f>
        <v>2578.9504584031747</v>
      </c>
    </row>
    <row r="11" spans="1:29" s="58" customFormat="1">
      <c r="A11" s="288" t="s">
        <v>124</v>
      </c>
      <c r="B11" s="137">
        <f>'Sm Comm Cust Fcst'!$B12*'Non-Residential TSM UC Adj'!B10</f>
        <v>8704721.8232651819</v>
      </c>
      <c r="C11" s="23">
        <f>'Sm Comm Cust Fcst'!$B12*'Non-Residential TSM UC Adj'!C10</f>
        <v>689243.43096395035</v>
      </c>
      <c r="D11" s="23">
        <f>'Sm Comm Cust Fcst'!$B12*'Non-Residential TSM UC Adj'!D10</f>
        <v>934387.32946277899</v>
      </c>
      <c r="E11" s="45">
        <f>IF(SUM(B11:D11)=0,0,SUM(B11:D11)/'Sm Comm Cust Fcst'!B12)</f>
        <v>2589.8577190802184</v>
      </c>
      <c r="F11" s="137">
        <f>'Sm Comm Cust Fcst'!$C12*'Non-Residential TSM UC Adj'!F10</f>
        <v>6512979.7132915678</v>
      </c>
      <c r="G11" s="23">
        <f>'Sm Comm Cust Fcst'!$C12*'Non-Residential TSM UC Adj'!G10</f>
        <v>994116.01605451293</v>
      </c>
      <c r="H11" s="23">
        <f>'Sm Comm Cust Fcst'!$C12*'Non-Residential TSM UC Adj'!H10</f>
        <v>417640.6825608362</v>
      </c>
      <c r="I11" s="45">
        <f>IF(SUM(F11:H11)=0,0,SUM(F11:H11)/'Sm Comm Cust Fcst'!C12)</f>
        <v>5725.9656155396797</v>
      </c>
      <c r="J11" s="137">
        <f>'Sm Comm Cust Fcst'!$D12*'Non-Residential TSM UC Adj'!J10</f>
        <v>50059910.432196535</v>
      </c>
      <c r="K11" s="23">
        <f>'Sm Comm Cust Fcst'!$D12*'Non-Residential TSM UC Adj'!K10</f>
        <v>7266959.3456817251</v>
      </c>
      <c r="L11" s="23">
        <f>'Sm Comm Cust Fcst'!$D12*'Non-Residential TSM UC Adj'!L10</f>
        <v>3052941.3189797541</v>
      </c>
      <c r="M11" s="45">
        <f>IF(SUM(J11:L11)=0,0,SUM(J11:L11)/'Sm Comm Cust Fcst'!D12)</f>
        <v>5968.1537112640126</v>
      </c>
      <c r="N11" s="137">
        <f>'Sm Comm Cust Fcst'!$E12*'Non-Residential TSM UC Adj'!N10</f>
        <v>10465373.164514929</v>
      </c>
      <c r="O11" s="23">
        <f>'Sm Comm Cust Fcst'!$E12*'Non-Residential TSM UC Adj'!O10</f>
        <v>1287897.4109723566</v>
      </c>
      <c r="P11" s="23">
        <f>'Sm Comm Cust Fcst'!$E12*'Non-Residential TSM UC Adj'!P10</f>
        <v>541061.95363553416</v>
      </c>
      <c r="Q11" s="45">
        <f>IF(SUM(N11:P11)=0,0,SUM(N11:P11)/'Sm Comm Cust Fcst'!E12)</f>
        <v>6856.8502672185277</v>
      </c>
      <c r="R11" s="137">
        <f t="shared" si="2"/>
        <v>75742985.133268207</v>
      </c>
      <c r="S11" s="23">
        <f t="shared" si="0"/>
        <v>10238216.203672545</v>
      </c>
      <c r="T11" s="23">
        <f t="shared" si="0"/>
        <v>4946031.284638904</v>
      </c>
      <c r="U11" s="45">
        <f>IF(SUM(R11:T11)=0,0,SUM(R11:T11)/'Sm Comm Cust Fcst'!F12)</f>
        <v>5261.3836721201042</v>
      </c>
      <c r="V11" s="137">
        <f>'Sm Comm Cust Fcst'!$G12*'Non-Residential TSM UC Adj'!R10</f>
        <v>0</v>
      </c>
      <c r="W11" s="23">
        <f>'Sm Comm Cust Fcst'!$G12*'Non-Residential TSM UC Adj'!S10</f>
        <v>18779.563877653316</v>
      </c>
      <c r="X11" s="23">
        <f>'Sm Comm Cust Fcst'!$G12*'Non-Residential TSM UC Adj'!T10</f>
        <v>5194.0551017489652</v>
      </c>
      <c r="Y11" s="45">
        <f>IF(SUM(V11:X11)=0,0,SUM(V11:X11)/'Sm Comm Cust Fcst'!G12)</f>
        <v>3995.6031632337131</v>
      </c>
      <c r="Z11" s="137">
        <f t="shared" si="3"/>
        <v>75742985.133268207</v>
      </c>
      <c r="AA11" s="23">
        <f t="shared" si="1"/>
        <v>10256995.767550198</v>
      </c>
      <c r="AB11" s="23">
        <f t="shared" si="1"/>
        <v>4951225.3397406526</v>
      </c>
      <c r="AC11" s="45">
        <f>IF(SUM(Z11:AB11)=0,0,SUM(Z11:AB11)/'Sm Comm Cust Fcst'!H12)</f>
        <v>5260.9443683803247</v>
      </c>
    </row>
    <row r="12" spans="1:29">
      <c r="A12" s="153" t="s">
        <v>116</v>
      </c>
      <c r="B12" s="137">
        <f>'Sm Comm Cust Fcst'!$B13*'Non-Residential TSM UC Adj'!B11</f>
        <v>1768010.1998106311</v>
      </c>
      <c r="C12" s="23">
        <f>'Sm Comm Cust Fcst'!$B13*'Non-Residential TSM UC Adj'!C11</f>
        <v>139991.77008044129</v>
      </c>
      <c r="D12" s="23">
        <f>'Sm Comm Cust Fcst'!$B13*'Non-Residential TSM UC Adj'!D11</f>
        <v>189782.78256390445</v>
      </c>
      <c r="E12" s="45">
        <f>IF(SUM(B12:D12)=0,0,SUM(B12:D12)/'Sm Comm Cust Fcst'!B13)</f>
        <v>2589.8577190802184</v>
      </c>
      <c r="F12" s="137">
        <f>'Sm Comm Cust Fcst'!$C13*'Non-Residential TSM UC Adj'!F11</f>
        <v>1981188.1931327675</v>
      </c>
      <c r="G12" s="23">
        <f>'Sm Comm Cust Fcst'!$C13*'Non-Residential TSM UC Adj'!G11</f>
        <v>302400.89794721815</v>
      </c>
      <c r="H12" s="23">
        <f>'Sm Comm Cust Fcst'!$C13*'Non-Residential TSM UC Adj'!H11</f>
        <v>127042.43306221969</v>
      </c>
      <c r="I12" s="45">
        <f>IF(SUM(F12:H12)=0,0,SUM(F12:H12)/'Sm Comm Cust Fcst'!C13)</f>
        <v>5725.9656155396797</v>
      </c>
      <c r="J12" s="137">
        <f>'Sm Comm Cust Fcst'!$D13*'Non-Residential TSM UC Adj'!J11</f>
        <v>12751249.301548926</v>
      </c>
      <c r="K12" s="23">
        <f>'Sm Comm Cust Fcst'!$D13*'Non-Residential TSM UC Adj'!K11</f>
        <v>1851038.2755581501</v>
      </c>
      <c r="L12" s="23">
        <f>'Sm Comm Cust Fcst'!$D13*'Non-Residential TSM UC Adj'!L11</f>
        <v>777644.53682028537</v>
      </c>
      <c r="M12" s="45">
        <f>IF(SUM(J12:L12)=0,0,SUM(J12:L12)/'Sm Comm Cust Fcst'!D13)</f>
        <v>5968.1537112640126</v>
      </c>
      <c r="N12" s="137">
        <f>'Sm Comm Cust Fcst'!$E13*'Non-Residential TSM UC Adj'!N11</f>
        <v>3531260.8837320316</v>
      </c>
      <c r="O12" s="23">
        <f>'Sm Comm Cust Fcst'!$E13*'Non-Residential TSM UC Adj'!O11</f>
        <v>434566.61106429214</v>
      </c>
      <c r="P12" s="23">
        <f>'Sm Comm Cust Fcst'!$E13*'Non-Residential TSM UC Adj'!P11</f>
        <v>182566.91687088576</v>
      </c>
      <c r="Q12" s="45">
        <f>IF(SUM(N12:P12)=0,0,SUM(N12:P12)/'Sm Comm Cust Fcst'!E13)</f>
        <v>6856.8502672185277</v>
      </c>
      <c r="R12" s="137">
        <f t="shared" si="2"/>
        <v>20031708.578224357</v>
      </c>
      <c r="S12" s="23">
        <f t="shared" si="0"/>
        <v>2727997.5546501013</v>
      </c>
      <c r="T12" s="23">
        <f t="shared" si="0"/>
        <v>1277036.6693172953</v>
      </c>
      <c r="U12" s="45">
        <f>IF(SUM(R12:T12)=0,0,SUM(R12:T12)/'Sm Comm Cust Fcst'!F13)</f>
        <v>5446.8032635829941</v>
      </c>
      <c r="V12" s="137">
        <f>'Sm Comm Cust Fcst'!$G13*'Non-Residential TSM UC Adj'!R11</f>
        <v>0</v>
      </c>
      <c r="W12" s="23">
        <f>'Sm Comm Cust Fcst'!$G13*'Non-Residential TSM UC Adj'!S11</f>
        <v>0</v>
      </c>
      <c r="X12" s="23">
        <f>'Sm Comm Cust Fcst'!$G13*'Non-Residential TSM UC Adj'!T11</f>
        <v>0</v>
      </c>
      <c r="Y12" s="45">
        <f>IF(SUM(V12:X12)=0,0,SUM(V12:X12)/'Sm Comm Cust Fcst'!G13)</f>
        <v>0</v>
      </c>
      <c r="Z12" s="137">
        <f t="shared" si="3"/>
        <v>20031708.578224357</v>
      </c>
      <c r="AA12" s="23">
        <f t="shared" si="1"/>
        <v>2727997.5546501013</v>
      </c>
      <c r="AB12" s="23">
        <f t="shared" si="1"/>
        <v>1277036.6693172953</v>
      </c>
      <c r="AC12" s="45">
        <f>IF(SUM(Z12:AB12)=0,0,SUM(Z12:AB12)/'Sm Comm Cust Fcst'!H13)</f>
        <v>5446.8032635829941</v>
      </c>
    </row>
    <row r="13" spans="1:29">
      <c r="A13" s="153" t="s">
        <v>8</v>
      </c>
      <c r="B13" s="137">
        <f>'Sm Comm Cust Fcst'!$B14*'Non-Residential TSM UC Adj'!B12</f>
        <v>2542030.7272551269</v>
      </c>
      <c r="C13" s="23">
        <f>'Sm Comm Cust Fcst'!$B14*'Non-Residential TSM UC Adj'!C12</f>
        <v>225834.01854457613</v>
      </c>
      <c r="D13" s="23">
        <f>'Sm Comm Cust Fcst'!$B14*'Non-Residential TSM UC Adj'!D12</f>
        <v>126990.45450572373</v>
      </c>
      <c r="E13" s="45">
        <f>IF(SUM(B13:D13)=0,0,SUM(B13:D13)/'Sm Comm Cust Fcst'!B14)</f>
        <v>5341.0612551760642</v>
      </c>
      <c r="F13" s="137">
        <f>'Sm Comm Cust Fcst'!$C14*'Non-Residential TSM UC Adj'!F12</f>
        <v>5632974.5063656121</v>
      </c>
      <c r="G13" s="23">
        <f>'Sm Comm Cust Fcst'!$C14*'Non-Residential TSM UC Adj'!G12</f>
        <v>373158.80774977367</v>
      </c>
      <c r="H13" s="23">
        <f>'Sm Comm Cust Fcst'!$C14*'Non-Residential TSM UC Adj'!H12</f>
        <v>120403.63608509656</v>
      </c>
      <c r="I13" s="45">
        <f>IF(SUM(F13:H13)=0,0,SUM(F13:H13)/'Sm Comm Cust Fcst'!C14)</f>
        <v>15354.729198497449</v>
      </c>
      <c r="J13" s="137">
        <f>'Sm Comm Cust Fcst'!$D14*'Non-Residential TSM UC Adj'!J12</f>
        <v>32182431.298903458</v>
      </c>
      <c r="K13" s="23">
        <f>'Sm Comm Cust Fcst'!$D14*'Non-Residential TSM UC Adj'!K12</f>
        <v>2027589.7122844846</v>
      </c>
      <c r="L13" s="23">
        <f>'Sm Comm Cust Fcst'!$D14*'Non-Residential TSM UC Adj'!L12</f>
        <v>654223.2657455873</v>
      </c>
      <c r="M13" s="45">
        <f>IF(SUM(J13:L13)=0,0,SUM(J13:L13)/'Sm Comm Cust Fcst'!D14)</f>
        <v>16081.293485670447</v>
      </c>
      <c r="N13" s="137">
        <f>'Sm Comm Cust Fcst'!$E14*'Non-Residential TSM UC Adj'!N12</f>
        <v>5720058.9521609768</v>
      </c>
      <c r="O13" s="23">
        <f>'Sm Comm Cust Fcst'!$E14*'Non-Residential TSM UC Adj'!O12</f>
        <v>916530.40499944414</v>
      </c>
      <c r="P13" s="23">
        <f>'Sm Comm Cust Fcst'!$E14*'Non-Residential TSM UC Adj'!P12</f>
        <v>295728.2289809389</v>
      </c>
      <c r="Q13" s="45">
        <f>IF(SUM(N13:P13)=0,0,SUM(N13:P13)/'Sm Comm Cust Fcst'!E14)</f>
        <v>7073.7934552462857</v>
      </c>
      <c r="R13" s="137">
        <f t="shared" si="2"/>
        <v>46077495.484685175</v>
      </c>
      <c r="S13" s="23">
        <f t="shared" si="0"/>
        <v>3543112.9435782786</v>
      </c>
      <c r="T13" s="23">
        <f t="shared" si="0"/>
        <v>1197345.5853173465</v>
      </c>
      <c r="U13" s="45">
        <f>IF(SUM(R13:T13)=0,0,SUM(R13:T13)/'Sm Comm Cust Fcst'!F14)</f>
        <v>12427.966254238396</v>
      </c>
      <c r="V13" s="137">
        <f>'Sm Comm Cust Fcst'!$G14*'Non-Residential TSM UC Adj'!R12</f>
        <v>0</v>
      </c>
      <c r="W13" s="23">
        <f>'Sm Comm Cust Fcst'!$G14*'Non-Residential TSM UC Adj'!S12</f>
        <v>6259.854625884439</v>
      </c>
      <c r="X13" s="23">
        <f>'Sm Comm Cust Fcst'!$G14*'Non-Residential TSM UC Adj'!T12</f>
        <v>1731.3517005829883</v>
      </c>
      <c r="Y13" s="45">
        <f>IF(SUM(V13:X13)=0,0,SUM(V13:X13)/'Sm Comm Cust Fcst'!G14)</f>
        <v>3995.6031632337135</v>
      </c>
      <c r="Z13" s="137">
        <f t="shared" si="3"/>
        <v>46077495.484685175</v>
      </c>
      <c r="AA13" s="23">
        <f t="shared" si="1"/>
        <v>3549372.7982041631</v>
      </c>
      <c r="AB13" s="23">
        <f t="shared" si="1"/>
        <v>1199076.9370179295</v>
      </c>
      <c r="AC13" s="45">
        <f>IF(SUM(Z13:AB13)=0,0,SUM(Z13:AB13)/'Sm Comm Cust Fcst'!H14)</f>
        <v>12423.843857224949</v>
      </c>
    </row>
    <row r="14" spans="1:29">
      <c r="A14" s="153" t="s">
        <v>9</v>
      </c>
      <c r="B14" s="137">
        <f>'Sm Comm Cust Fcst'!$B15*'Non-Residential TSM UC Adj'!B13</f>
        <v>144202.26461136085</v>
      </c>
      <c r="C14" s="23">
        <f>'Sm Comm Cust Fcst'!$B15*'Non-Residential TSM UC Adj'!C13</f>
        <v>18796.428660802434</v>
      </c>
      <c r="D14" s="23">
        <f>'Sm Comm Cust Fcst'!$B15*'Non-Residential TSM UC Adj'!D13</f>
        <v>6560.3924836905244</v>
      </c>
      <c r="E14" s="45">
        <f>IF(SUM(B14:D14)=0,0,SUM(B14:D14)/'Sm Comm Cust Fcst'!B15)</f>
        <v>6055.6816341376352</v>
      </c>
      <c r="F14" s="137">
        <f>'Sm Comm Cust Fcst'!$C15*'Non-Residential TSM UC Adj'!F13</f>
        <v>578826.9542881957</v>
      </c>
      <c r="G14" s="23">
        <f>'Sm Comm Cust Fcst'!$C15*'Non-Residential TSM UC Adj'!G13</f>
        <v>59062.547328453395</v>
      </c>
      <c r="H14" s="23">
        <f>'Sm Comm Cust Fcst'!$C15*'Non-Residential TSM UC Adj'!H13</f>
        <v>12372.303457365811</v>
      </c>
      <c r="I14" s="45">
        <f>IF(SUM(F14:H14)=0,0,SUM(F14:H14)/'Sm Comm Cust Fcst'!C15)</f>
        <v>15860.044026195486</v>
      </c>
      <c r="J14" s="137">
        <f>'Sm Comm Cust Fcst'!$D15*'Non-Residential TSM UC Adj'!J13</f>
        <v>2775883.142479219</v>
      </c>
      <c r="K14" s="23">
        <f>'Sm Comm Cust Fcst'!$D15*'Non-Residential TSM UC Adj'!K13</f>
        <v>269382.83781514107</v>
      </c>
      <c r="L14" s="23">
        <f>'Sm Comm Cust Fcst'!$D15*'Non-Residential TSM UC Adj'!L13</f>
        <v>56429.774305546511</v>
      </c>
      <c r="M14" s="45">
        <f>IF(SUM(J14:L14)=0,0,SUM(J14:L14)/'Sm Comm Cust Fcst'!D15)</f>
        <v>16586.608313368484</v>
      </c>
      <c r="N14" s="137">
        <f>'Sm Comm Cust Fcst'!$E15*'Non-Residential TSM UC Adj'!N13</f>
        <v>1672241.724279714</v>
      </c>
      <c r="O14" s="23">
        <f>'Sm Comm Cust Fcst'!$E15*'Non-Residential TSM UC Adj'!O13</f>
        <v>178629.90546417737</v>
      </c>
      <c r="P14" s="23">
        <f>'Sm Comm Cust Fcst'!$E15*'Non-Residential TSM UC Adj'!P13</f>
        <v>57636.828301387075</v>
      </c>
      <c r="Q14" s="45">
        <f>IF(SUM(N14:P14)=0,0,SUM(N14:P14)/'Sm Comm Cust Fcst'!E15)</f>
        <v>9992.1908798182121</v>
      </c>
      <c r="R14" s="137">
        <f t="shared" si="2"/>
        <v>5171154.0856584897</v>
      </c>
      <c r="S14" s="23">
        <f t="shared" si="0"/>
        <v>525871.71926857426</v>
      </c>
      <c r="T14" s="23">
        <f t="shared" si="0"/>
        <v>132999.29854798992</v>
      </c>
      <c r="U14" s="45">
        <f>IF(SUM(R14:T14)=0,0,SUM(R14:T14)/'Sm Comm Cust Fcst'!F15)</f>
        <v>13042.561752740612</v>
      </c>
      <c r="V14" s="137">
        <f>'Sm Comm Cust Fcst'!$G15*'Non-Residential TSM UC Adj'!R13</f>
        <v>0</v>
      </c>
      <c r="W14" s="23">
        <f>'Sm Comm Cust Fcst'!$G15*'Non-Residential TSM UC Adj'!S13</f>
        <v>3129.9273129422195</v>
      </c>
      <c r="X14" s="23">
        <f>'Sm Comm Cust Fcst'!$G15*'Non-Residential TSM UC Adj'!T13</f>
        <v>865.67585029149416</v>
      </c>
      <c r="Y14" s="45">
        <f>IF(SUM(V14:X14)=0,0,SUM(V14:X14)/'Sm Comm Cust Fcst'!G15)</f>
        <v>3995.6031632337135</v>
      </c>
      <c r="Z14" s="137">
        <f t="shared" si="3"/>
        <v>5171154.0856584897</v>
      </c>
      <c r="AA14" s="23">
        <f t="shared" si="1"/>
        <v>529001.64658151648</v>
      </c>
      <c r="AB14" s="23">
        <f t="shared" si="1"/>
        <v>133864.97439828143</v>
      </c>
      <c r="AC14" s="45">
        <f>IF(SUM(Z14:AB14)=0,0,SUM(Z14:AB14)/'Sm Comm Cust Fcst'!H15)</f>
        <v>13022.367648746178</v>
      </c>
    </row>
    <row r="15" spans="1:29">
      <c r="A15" s="153" t="s">
        <v>10</v>
      </c>
      <c r="B15" s="137">
        <f>'Sm Comm Cust Fcst'!$B16*'Non-Residential TSM UC Adj'!B14</f>
        <v>4936.206559466149</v>
      </c>
      <c r="C15" s="23">
        <f>'Sm Comm Cust Fcst'!$B16*'Non-Residential TSM UC Adj'!C14</f>
        <v>1276.372447066306</v>
      </c>
      <c r="D15" s="23">
        <f>'Sm Comm Cust Fcst'!$B16*'Non-Residential TSM UC Adj'!D14</f>
        <v>234.29973156037588</v>
      </c>
      <c r="E15" s="45">
        <f>IF(SUM(B15:D15)=0,0,SUM(B15:D15)/'Sm Comm Cust Fcst'!B16)</f>
        <v>6446.8787380928306</v>
      </c>
      <c r="F15" s="137">
        <f>'Sm Comm Cust Fcst'!$C16*'Non-Residential TSM UC Adj'!F14</f>
        <v>58374.35415923554</v>
      </c>
      <c r="G15" s="23">
        <f>'Sm Comm Cust Fcst'!$C16*'Non-Residential TSM UC Adj'!G14</f>
        <v>10083.849543882287</v>
      </c>
      <c r="H15" s="23">
        <f>'Sm Comm Cust Fcst'!$C16*'Non-Residential TSM UC Adj'!H14</f>
        <v>2112.3444927209921</v>
      </c>
      <c r="I15" s="45">
        <f>IF(SUM(F15:H15)=0,0,SUM(F15:H15)/'Sm Comm Cust Fcst'!C16)</f>
        <v>10081.50688511983</v>
      </c>
      <c r="J15" s="137">
        <f>'Sm Comm Cust Fcst'!$D16*'Non-Residential TSM UC Adj'!J14</f>
        <v>412681.88084910525</v>
      </c>
      <c r="K15" s="23">
        <f>'Sm Comm Cust Fcst'!$D16*'Non-Residential TSM UC Adj'!K14</f>
        <v>69146.396872335681</v>
      </c>
      <c r="L15" s="23">
        <f>'Sm Comm Cust Fcst'!$D16*'Non-Residential TSM UC Adj'!L14</f>
        <v>14484.647950086804</v>
      </c>
      <c r="M15" s="45">
        <f>IF(SUM(J15:L15)=0,0,SUM(J15:L15)/'Sm Comm Cust Fcst'!D16)</f>
        <v>10339.852618156829</v>
      </c>
      <c r="N15" s="137">
        <f>'Sm Comm Cust Fcst'!$E16*'Non-Residential TSM UC Adj'!N14</f>
        <v>726680.95871840976</v>
      </c>
      <c r="O15" s="23">
        <f>'Sm Comm Cust Fcst'!$E16*'Non-Residential TSM UC Adj'!O14</f>
        <v>119565.64459174711</v>
      </c>
      <c r="P15" s="23">
        <f>'Sm Comm Cust Fcst'!$E16*'Non-Residential TSM UC Adj'!P14</f>
        <v>25046.370413691766</v>
      </c>
      <c r="Q15" s="45">
        <f>IF(SUM(N15:P15)=0,0,SUM(N15:P15)/'Sm Comm Cust Fcst'!E16)</f>
        <v>10497.505707516248</v>
      </c>
      <c r="R15" s="137">
        <f t="shared" si="2"/>
        <v>1202673.4002862168</v>
      </c>
      <c r="S15" s="23">
        <f t="shared" si="0"/>
        <v>200072.26345503138</v>
      </c>
      <c r="T15" s="23">
        <f t="shared" si="0"/>
        <v>41877.662588059939</v>
      </c>
      <c r="U15" s="45">
        <f>IF(SUM(R15:T15)=0,0,SUM(R15:T15)/'Sm Comm Cust Fcst'!F16)</f>
        <v>10392.973570714446</v>
      </c>
      <c r="V15" s="137">
        <f>'Sm Comm Cust Fcst'!$G16*'Non-Residential TSM UC Adj'!R14</f>
        <v>0</v>
      </c>
      <c r="W15" s="23">
        <f>'Sm Comm Cust Fcst'!$G16*'Non-Residential TSM UC Adj'!S14</f>
        <v>0</v>
      </c>
      <c r="X15" s="23">
        <f>'Sm Comm Cust Fcst'!$G16*'Non-Residential TSM UC Adj'!T14</f>
        <v>0</v>
      </c>
      <c r="Y15" s="45">
        <f>IF(SUM(V15:X15)=0,0,SUM(V15:X15)/'Sm Comm Cust Fcst'!G16)</f>
        <v>0</v>
      </c>
      <c r="Z15" s="137">
        <f t="shared" si="3"/>
        <v>1202673.4002862168</v>
      </c>
      <c r="AA15" s="23">
        <f t="shared" si="1"/>
        <v>200072.26345503138</v>
      </c>
      <c r="AB15" s="23">
        <f t="shared" si="1"/>
        <v>41877.662588059939</v>
      </c>
      <c r="AC15" s="45">
        <f>IF(SUM(Z15:AB15)=0,0,SUM(Z15:AB15)/'Sm Comm Cust Fcst'!H16)</f>
        <v>10392.973570714446</v>
      </c>
    </row>
    <row r="16" spans="1:29">
      <c r="A16" s="153" t="s">
        <v>11</v>
      </c>
      <c r="B16" s="137">
        <f>'Sm Comm Cust Fcst'!$B17*'Non-Residential TSM UC Adj'!B15</f>
        <v>4936.206559466149</v>
      </c>
      <c r="C16" s="23">
        <f>'Sm Comm Cust Fcst'!$B17*'Non-Residential TSM UC Adj'!C15</f>
        <v>1881.4438705325249</v>
      </c>
      <c r="D16" s="23">
        <f>'Sm Comm Cust Fcst'!$B17*'Non-Residential TSM UC Adj'!D15</f>
        <v>234.29973156037588</v>
      </c>
      <c r="E16" s="45">
        <f>IF(SUM(B16:D16)=0,0,SUM(B16:D16)/'Sm Comm Cust Fcst'!B17)</f>
        <v>7051.9501615590498</v>
      </c>
      <c r="F16" s="137">
        <f>'Sm Comm Cust Fcst'!$C17*'Non-Residential TSM UC Adj'!F15</f>
        <v>16678.386902638726</v>
      </c>
      <c r="G16" s="23">
        <f>'Sm Comm Cust Fcst'!$C17*'Non-Residential TSM UC Adj'!G15</f>
        <v>5762.1997393613065</v>
      </c>
      <c r="H16" s="23">
        <f>'Sm Comm Cust Fcst'!$C17*'Non-Residential TSM UC Adj'!H15</f>
        <v>1731.3517005829883</v>
      </c>
      <c r="I16" s="45">
        <f>IF(SUM(F16:H16)=0,0,SUM(F16:H16)/'Sm Comm Cust Fcst'!C17)</f>
        <v>12085.96917129151</v>
      </c>
      <c r="J16" s="137">
        <f>'Sm Comm Cust Fcst'!$D17*'Non-Residential TSM UC Adj'!J15</f>
        <v>395486.80248039251</v>
      </c>
      <c r="K16" s="23">
        <f>'Sm Comm Cust Fcst'!$D17*'Non-Residential TSM UC Adj'!K15</f>
        <v>66265.297002655017</v>
      </c>
      <c r="L16" s="23">
        <f>'Sm Comm Cust Fcst'!$D17*'Non-Residential TSM UC Adj'!L15</f>
        <v>19910.544556704364</v>
      </c>
      <c r="M16" s="45">
        <f>IF(SUM(J16:L16)=0,0,SUM(J16:L16)/'Sm Comm Cust Fcst'!D17)</f>
        <v>20941.854088684864</v>
      </c>
      <c r="N16" s="137">
        <f>'Sm Comm Cust Fcst'!$E17*'Non-Residential TSM UC Adj'!N15</f>
        <v>1155685.3801304831</v>
      </c>
      <c r="O16" s="23">
        <f>'Sm Comm Cust Fcst'!$E17*'Non-Residential TSM UC Adj'!O15</f>
        <v>95076.295699461552</v>
      </c>
      <c r="P16" s="23">
        <f>'Sm Comm Cust Fcst'!$E17*'Non-Residential TSM UC Adj'!P15</f>
        <v>57134.606119238611</v>
      </c>
      <c r="Q16" s="45">
        <f>IF(SUM(N16:P16)=0,0,SUM(N16:P16)/'Sm Comm Cust Fcst'!E17)</f>
        <v>19816.610332563381</v>
      </c>
      <c r="R16" s="137">
        <f t="shared" si="2"/>
        <v>1572786.7760729804</v>
      </c>
      <c r="S16" s="23">
        <f t="shared" si="0"/>
        <v>168985.23631201038</v>
      </c>
      <c r="T16" s="23">
        <f t="shared" si="0"/>
        <v>79010.80210808634</v>
      </c>
      <c r="U16" s="45">
        <f>IF(SUM(R16:T16)=0,0,SUM(R16:T16)/'Sm Comm Cust Fcst'!F17)</f>
        <v>19791.117548837796</v>
      </c>
      <c r="V16" s="137">
        <f>'Sm Comm Cust Fcst'!$G17*'Non-Residential TSM UC Adj'!R15</f>
        <v>0</v>
      </c>
      <c r="W16" s="23">
        <f>'Sm Comm Cust Fcst'!$G17*'Non-Residential TSM UC Adj'!S15</f>
        <v>0</v>
      </c>
      <c r="X16" s="23">
        <f>'Sm Comm Cust Fcst'!$G17*'Non-Residential TSM UC Adj'!T15</f>
        <v>0</v>
      </c>
      <c r="Y16" s="45">
        <f>IF(SUM(V16:X16)=0,0,SUM(V16:X16)/'Sm Comm Cust Fcst'!G17)</f>
        <v>0</v>
      </c>
      <c r="Z16" s="137">
        <f t="shared" si="3"/>
        <v>1572786.7760729804</v>
      </c>
      <c r="AA16" s="23">
        <f t="shared" si="1"/>
        <v>168985.23631201038</v>
      </c>
      <c r="AB16" s="23">
        <f t="shared" si="1"/>
        <v>79010.80210808634</v>
      </c>
      <c r="AC16" s="45">
        <f>IF(SUM(Z16:AB16)=0,0,SUM(Z16:AB16)/'Sm Comm Cust Fcst'!H17)</f>
        <v>19791.117548837796</v>
      </c>
    </row>
    <row r="17" spans="1:29">
      <c r="A17" s="153" t="s">
        <v>120</v>
      </c>
      <c r="B17" s="137">
        <f>'Sm Comm Cust Fcst'!$B18*'Non-Residential TSM UC Adj'!B16</f>
        <v>0</v>
      </c>
      <c r="C17" s="23">
        <f>'Sm Comm Cust Fcst'!$B18*'Non-Residential TSM UC Adj'!C16</f>
        <v>0</v>
      </c>
      <c r="D17" s="23">
        <f>'Sm Comm Cust Fcst'!$B18*'Non-Residential TSM UC Adj'!D16</f>
        <v>0</v>
      </c>
      <c r="E17" s="45">
        <f>IF(SUM(B17:D17)=0,0,SUM(B17:D17)/'Sm Comm Cust Fcst'!B18)</f>
        <v>0</v>
      </c>
      <c r="F17" s="137">
        <f>'Sm Comm Cust Fcst'!$C18*'Non-Residential TSM UC Adj'!F16</f>
        <v>0</v>
      </c>
      <c r="G17" s="23">
        <f>'Sm Comm Cust Fcst'!$C18*'Non-Residential TSM UC Adj'!G16</f>
        <v>0</v>
      </c>
      <c r="H17" s="23">
        <f>'Sm Comm Cust Fcst'!$C18*'Non-Residential TSM UC Adj'!H16</f>
        <v>0</v>
      </c>
      <c r="I17" s="45">
        <f>IF(SUM(F17:H17)=0,0,SUM(F17:H17)/'Sm Comm Cust Fcst'!C18)</f>
        <v>0</v>
      </c>
      <c r="J17" s="137">
        <f>'Sm Comm Cust Fcst'!$D18*'Non-Residential TSM UC Adj'!J16</f>
        <v>38750.274435197804</v>
      </c>
      <c r="K17" s="23">
        <f>'Sm Comm Cust Fcst'!$D18*'Non-Residential TSM UC Adj'!K16</f>
        <v>15525.522463697931</v>
      </c>
      <c r="L17" s="23">
        <f>'Sm Comm Cust Fcst'!$D18*'Non-Residential TSM UC Adj'!L16</f>
        <v>3462.7034011659766</v>
      </c>
      <c r="M17" s="45">
        <f>IF(SUM(J17:L17)=0,0,SUM(J17:L17)/'Sm Comm Cust Fcst'!D18)</f>
        <v>14434.625075015429</v>
      </c>
      <c r="N17" s="137">
        <f>'Sm Comm Cust Fcst'!$E18*'Non-Residential TSM UC Adj'!N16</f>
        <v>201773.11848164987</v>
      </c>
      <c r="O17" s="23">
        <f>'Sm Comm Cust Fcst'!$E18*'Non-Residential TSM UC Adj'!O16</f>
        <v>42695.186775169313</v>
      </c>
      <c r="P17" s="23">
        <f>'Sm Comm Cust Fcst'!$E18*'Non-Residential TSM UC Adj'!P16</f>
        <v>19044.868706412872</v>
      </c>
      <c r="Q17" s="45">
        <f>IF(SUM(N17:P17)=0,0,SUM(N17:P17)/'Sm Comm Cust Fcst'!E18)</f>
        <v>11977.871543783274</v>
      </c>
      <c r="R17" s="137">
        <f t="shared" si="2"/>
        <v>240523.39291684766</v>
      </c>
      <c r="S17" s="23">
        <f t="shared" si="0"/>
        <v>58220.709238867246</v>
      </c>
      <c r="T17" s="23">
        <f t="shared" si="0"/>
        <v>22507.57210757885</v>
      </c>
      <c r="U17" s="45">
        <f>IF(SUM(R17:T17)=0,0,SUM(R17:T17)/'Sm Comm Cust Fcst'!F18)</f>
        <v>12355.833625511297</v>
      </c>
      <c r="V17" s="137">
        <f>'Sm Comm Cust Fcst'!$G18*'Non-Residential TSM UC Adj'!R16</f>
        <v>0</v>
      </c>
      <c r="W17" s="23">
        <f>'Sm Comm Cust Fcst'!$G18*'Non-Residential TSM UC Adj'!S16</f>
        <v>0</v>
      </c>
      <c r="X17" s="23">
        <f>'Sm Comm Cust Fcst'!$G18*'Non-Residential TSM UC Adj'!T16</f>
        <v>0</v>
      </c>
      <c r="Y17" s="45">
        <f>IF(SUM(V17:X17)=0,0,SUM(V17:X17)/'Sm Comm Cust Fcst'!G18)</f>
        <v>0</v>
      </c>
      <c r="Z17" s="137">
        <f t="shared" si="3"/>
        <v>240523.39291684766</v>
      </c>
      <c r="AA17" s="23">
        <f t="shared" si="1"/>
        <v>58220.709238867246</v>
      </c>
      <c r="AB17" s="23">
        <f t="shared" si="1"/>
        <v>22507.57210757885</v>
      </c>
      <c r="AC17" s="45">
        <f>IF(SUM(Z17:AB17)=0,0,SUM(Z17:AB17)/'Sm Comm Cust Fcst'!H18)</f>
        <v>12355.833625511297</v>
      </c>
    </row>
    <row r="18" spans="1:29">
      <c r="A18" s="153" t="s">
        <v>121</v>
      </c>
      <c r="B18" s="137">
        <f>'Sm Comm Cust Fcst'!$B19*'Non-Residential TSM UC Adj'!J17</f>
        <v>0</v>
      </c>
      <c r="C18" s="23">
        <f>'Sm Comm Cust Fcst'!$B19*'Non-Residential TSM UC Adj'!K17</f>
        <v>0</v>
      </c>
      <c r="D18" s="23">
        <f>'Sm Comm Cust Fcst'!$B19*'Non-Residential TSM UC Adj'!L17</f>
        <v>0</v>
      </c>
      <c r="E18" s="45">
        <f>IF(SUM(B18:D18)=0,0,SUM(B18:D18)/'Sm Comm Cust Fcst'!B19)</f>
        <v>0</v>
      </c>
      <c r="F18" s="137">
        <f>'Sm Comm Cust Fcst'!$C19*'Non-Residential TSM UC Adj'!F17</f>
        <v>0</v>
      </c>
      <c r="G18" s="23">
        <f>'Sm Comm Cust Fcst'!$C19*'Non-Residential TSM UC Adj'!G17</f>
        <v>0</v>
      </c>
      <c r="H18" s="23">
        <f>'Sm Comm Cust Fcst'!$C19*'Non-Residential TSM UC Adj'!H17</f>
        <v>0</v>
      </c>
      <c r="I18" s="45">
        <f>IF(SUM(F18:H18)=0,0,SUM(F18:H18)/'Sm Comm Cust Fcst'!C19)</f>
        <v>0</v>
      </c>
      <c r="J18" s="137">
        <f>'Sm Comm Cust Fcst'!$D19*'Non-Residential TSM UC Adj'!J17</f>
        <v>9687.5686087994509</v>
      </c>
      <c r="K18" s="23">
        <f>'Sm Comm Cust Fcst'!$D19*'Non-Residential TSM UC Adj'!K17</f>
        <v>3881.3806159244828</v>
      </c>
      <c r="L18" s="23">
        <f>'Sm Comm Cust Fcst'!$D19*'Non-Residential TSM UC Adj'!L17</f>
        <v>865.67585029149416</v>
      </c>
      <c r="M18" s="45">
        <f>IF(SUM(J18:L18)=0,0,SUM(J18:L18)/'Sm Comm Cust Fcst'!D19)</f>
        <v>14434.625075015429</v>
      </c>
      <c r="N18" s="137">
        <f>'Sm Comm Cust Fcst'!$E19*'Non-Residential TSM UC Adj'!N17</f>
        <v>119229.570011884</v>
      </c>
      <c r="O18" s="23">
        <f>'Sm Comm Cust Fcst'!$E19*'Non-Residential TSM UC Adj'!O17</f>
        <v>25228.974003509138</v>
      </c>
      <c r="P18" s="23">
        <f>'Sm Comm Cust Fcst'!$E19*'Non-Residential TSM UC Adj'!P17</f>
        <v>11253.786053789425</v>
      </c>
      <c r="Q18" s="45">
        <f>IF(SUM(N18:P18)=0,0,SUM(N18:P18)/'Sm Comm Cust Fcst'!E19)</f>
        <v>11977.871543783274</v>
      </c>
      <c r="R18" s="137">
        <f t="shared" si="2"/>
        <v>128917.13862068346</v>
      </c>
      <c r="S18" s="23">
        <f t="shared" si="0"/>
        <v>29110.35461943362</v>
      </c>
      <c r="T18" s="23">
        <f t="shared" si="0"/>
        <v>12119.461904080919</v>
      </c>
      <c r="U18" s="45">
        <f>IF(SUM(R18:T18)=0,0,SUM(R18:T18)/'Sm Comm Cust Fcst'!F19)</f>
        <v>12153.353938871283</v>
      </c>
      <c r="V18" s="137">
        <f>'Sm Comm Cust Fcst'!$G19*'Non-Residential TSM UC Adj'!R17</f>
        <v>0</v>
      </c>
      <c r="W18" s="23">
        <f>'Sm Comm Cust Fcst'!$G19*'Non-Residential TSM UC Adj'!S17</f>
        <v>0</v>
      </c>
      <c r="X18" s="23">
        <f>'Sm Comm Cust Fcst'!$G19*'Non-Residential TSM UC Adj'!T17</f>
        <v>0</v>
      </c>
      <c r="Y18" s="45">
        <f>IF(SUM(V18:X18)=0,0,SUM(V18:X18)/'Sm Comm Cust Fcst'!G19)</f>
        <v>0</v>
      </c>
      <c r="Z18" s="137">
        <f t="shared" si="3"/>
        <v>128917.13862068346</v>
      </c>
      <c r="AA18" s="23">
        <f t="shared" si="1"/>
        <v>29110.35461943362</v>
      </c>
      <c r="AB18" s="23">
        <f t="shared" si="1"/>
        <v>12119.461904080919</v>
      </c>
      <c r="AC18" s="45">
        <f>IF(SUM(Z18:AB18)=0,0,SUM(Z18:AB18)/'Sm Comm Cust Fcst'!H19)</f>
        <v>12153.353938871283</v>
      </c>
    </row>
    <row r="19" spans="1:29">
      <c r="A19" s="153" t="s">
        <v>12</v>
      </c>
      <c r="B19" s="137">
        <f>'Sm Comm Cust Fcst'!$B20*'Non-Residential TSM UC Adj'!J18</f>
        <v>0</v>
      </c>
      <c r="C19" s="23">
        <f>'Sm Comm Cust Fcst'!$B20*'Non-Residential TSM UC Adj'!K18</f>
        <v>0</v>
      </c>
      <c r="D19" s="23">
        <f>'Sm Comm Cust Fcst'!$B20*'Non-Residential TSM UC Adj'!L18</f>
        <v>0</v>
      </c>
      <c r="E19" s="45">
        <f>IF(SUM(B19:D19)=0,0,SUM(B19:D19)/'Sm Comm Cust Fcst'!B20)</f>
        <v>0</v>
      </c>
      <c r="F19" s="137">
        <f>'Sm Comm Cust Fcst'!$C20*'Non-Residential TSM UC Adj'!J18</f>
        <v>0</v>
      </c>
      <c r="G19" s="23">
        <f>'Sm Comm Cust Fcst'!$C20*'Non-Residential TSM UC Adj'!K18</f>
        <v>0</v>
      </c>
      <c r="H19" s="23">
        <f>'Sm Comm Cust Fcst'!$C20*'Non-Residential TSM UC Adj'!L18</f>
        <v>0</v>
      </c>
      <c r="I19" s="45">
        <f>IF(SUM(F19:H19)=0,0,SUM(F19:H19)/'Sm Comm Cust Fcst'!C20)</f>
        <v>0</v>
      </c>
      <c r="J19" s="137">
        <f>'Sm Comm Cust Fcst'!$D20*'Non-Residential TSM UC Adj'!J18</f>
        <v>19375.137217598902</v>
      </c>
      <c r="K19" s="23">
        <f>'Sm Comm Cust Fcst'!$D20*'Non-Residential TSM UC Adj'!K18</f>
        <v>6332.3820101775018</v>
      </c>
      <c r="L19" s="23">
        <f>'Sm Comm Cust Fcst'!$D20*'Non-Residential TSM UC Adj'!L18</f>
        <v>865.67585029149416</v>
      </c>
      <c r="M19" s="45">
        <f>IF(SUM(J19:L19)=0,0,SUM(J19:L19)/'Sm Comm Cust Fcst'!D20)</f>
        <v>26573.195078067896</v>
      </c>
      <c r="N19" s="137">
        <f>'Sm Comm Cust Fcst'!$E20*'Non-Residential TSM UC Adj'!N18</f>
        <v>275145.16156588617</v>
      </c>
      <c r="O19" s="23">
        <f>'Sm Comm Cust Fcst'!$E20*'Non-Residential TSM UC Adj'!O18</f>
        <v>47492.865076331262</v>
      </c>
      <c r="P19" s="23">
        <f>'Sm Comm Cust Fcst'!$E20*'Non-Residential TSM UC Adj'!P18</f>
        <v>12985.137754372412</v>
      </c>
      <c r="Q19" s="45">
        <f>IF(SUM(N19:P19)=0,0,SUM(N19:P19)/'Sm Comm Cust Fcst'!E20)</f>
        <v>22374.877626439324</v>
      </c>
      <c r="R19" s="137">
        <f t="shared" si="2"/>
        <v>294520.29878348508</v>
      </c>
      <c r="S19" s="23">
        <f t="shared" si="0"/>
        <v>53825.247086508767</v>
      </c>
      <c r="T19" s="23">
        <f t="shared" si="0"/>
        <v>13850.813604663907</v>
      </c>
      <c r="U19" s="45">
        <f>IF(SUM(R19:T19)=0,0,SUM(R19:T19)/'Sm Comm Cust Fcst'!F20)</f>
        <v>22637.272467166109</v>
      </c>
      <c r="V19" s="137">
        <f>'Sm Comm Cust Fcst'!$G20*'Non-Residential TSM UC Adj'!R18</f>
        <v>0</v>
      </c>
      <c r="W19" s="23">
        <f>'Sm Comm Cust Fcst'!$G20*'Non-Residential TSM UC Adj'!S18</f>
        <v>0</v>
      </c>
      <c r="X19" s="23">
        <f>'Sm Comm Cust Fcst'!$G20*'Non-Residential TSM UC Adj'!T18</f>
        <v>0</v>
      </c>
      <c r="Y19" s="45">
        <f>IF(SUM(V19:X19)=0,0,SUM(V19:X19)/'Sm Comm Cust Fcst'!G20)</f>
        <v>0</v>
      </c>
      <c r="Z19" s="137">
        <f t="shared" si="3"/>
        <v>294520.29878348508</v>
      </c>
      <c r="AA19" s="23">
        <f t="shared" si="1"/>
        <v>53825.247086508767</v>
      </c>
      <c r="AB19" s="23">
        <f t="shared" si="1"/>
        <v>13850.813604663907</v>
      </c>
      <c r="AC19" s="45">
        <f>IF(SUM(Z19:AB19)=0,0,SUM(Z19:AB19)/'Sm Comm Cust Fcst'!H20)</f>
        <v>22637.272467166109</v>
      </c>
    </row>
    <row r="20" spans="1:29" s="58" customFormat="1">
      <c r="A20" s="134" t="s">
        <v>13</v>
      </c>
      <c r="B20" s="137">
        <f>'Sm Comm Cust Fcst'!$B21*'Non-Residential TSM UC Adj'!J19</f>
        <v>0</v>
      </c>
      <c r="C20" s="23">
        <f>'Sm Comm Cust Fcst'!$B21*'Non-Residential TSM UC Adj'!K19</f>
        <v>0</v>
      </c>
      <c r="D20" s="23">
        <f>'Sm Comm Cust Fcst'!$B21*'Non-Residential TSM UC Adj'!L19</f>
        <v>0</v>
      </c>
      <c r="E20" s="45">
        <f>IF(SUM(B20:D20)=0,0,SUM(B20:D20)/'Sm Comm Cust Fcst'!B21)</f>
        <v>0</v>
      </c>
      <c r="F20" s="137">
        <f>'Sm Comm Cust Fcst'!$C21*'Non-Residential TSM UC Adj'!J19</f>
        <v>0</v>
      </c>
      <c r="G20" s="23">
        <f>'Sm Comm Cust Fcst'!$C21*'Non-Residential TSM UC Adj'!K19</f>
        <v>0</v>
      </c>
      <c r="H20" s="23">
        <f>'Sm Comm Cust Fcst'!$C21*'Non-Residential TSM UC Adj'!L19</f>
        <v>0</v>
      </c>
      <c r="I20" s="45">
        <f>IF(SUM(F20:H20)=0,0,SUM(F20:H20)/'Sm Comm Cust Fcst'!C21)</f>
        <v>0</v>
      </c>
      <c r="J20" s="137">
        <f>'Sm Comm Cust Fcst'!$D21*'Non-Residential TSM UC Adj'!J19</f>
        <v>0</v>
      </c>
      <c r="K20" s="23">
        <f>'Sm Comm Cust Fcst'!$D21*'Non-Residential TSM UC Adj'!K19</f>
        <v>0</v>
      </c>
      <c r="L20" s="23">
        <f>'Sm Comm Cust Fcst'!$D21*'Non-Residential TSM UC Adj'!L19</f>
        <v>0</v>
      </c>
      <c r="M20" s="45">
        <f>IF(SUM(J20:L20)=0,0,SUM(J20:L20)/'Sm Comm Cust Fcst'!D21)</f>
        <v>0</v>
      </c>
      <c r="N20" s="137">
        <f>'Sm Comm Cust Fcst'!$E21*'Non-Residential TSM UC Adj'!N19</f>
        <v>99250.808311936678</v>
      </c>
      <c r="O20" s="23">
        <f>'Sm Comm Cust Fcst'!$E21*'Non-Residential TSM UC Adj'!O19</f>
        <v>31051.044927395862</v>
      </c>
      <c r="P20" s="23">
        <f>'Sm Comm Cust Fcst'!$E21*'Non-Residential TSM UC Adj'!P19</f>
        <v>6925.4068023319533</v>
      </c>
      <c r="Q20" s="45">
        <f>IF(SUM(N20:P20)=0,0,SUM(N20:P20)/'Sm Comm Cust Fcst'!E21)</f>
        <v>17153.407505208063</v>
      </c>
      <c r="R20" s="137">
        <f t="shared" si="2"/>
        <v>99250.808311936678</v>
      </c>
      <c r="S20" s="23">
        <f t="shared" si="0"/>
        <v>31051.044927395862</v>
      </c>
      <c r="T20" s="23">
        <f t="shared" si="0"/>
        <v>6925.4068023319533</v>
      </c>
      <c r="U20" s="45">
        <f>IF(SUM(R20:T20)=0,0,SUM(R20:T20)/'Sm Comm Cust Fcst'!F21)</f>
        <v>17153.407505208063</v>
      </c>
      <c r="V20" s="137">
        <f>'Sm Comm Cust Fcst'!$G21*'Non-Residential TSM UC Adj'!R19</f>
        <v>0</v>
      </c>
      <c r="W20" s="23">
        <f>'Sm Comm Cust Fcst'!$G21*'Non-Residential TSM UC Adj'!S19</f>
        <v>0</v>
      </c>
      <c r="X20" s="23">
        <f>'Sm Comm Cust Fcst'!$G21*'Non-Residential TSM UC Adj'!T19</f>
        <v>0</v>
      </c>
      <c r="Y20" s="45">
        <f>IF(SUM(V20:X20)=0,0,SUM(V20:X20)/'Sm Comm Cust Fcst'!G21)</f>
        <v>0</v>
      </c>
      <c r="Z20" s="137">
        <f t="shared" si="3"/>
        <v>99250.808311936678</v>
      </c>
      <c r="AA20" s="23">
        <f t="shared" si="1"/>
        <v>31051.044927395862</v>
      </c>
      <c r="AB20" s="23">
        <f t="shared" si="1"/>
        <v>6925.4068023319533</v>
      </c>
      <c r="AC20" s="45">
        <f>IF(SUM(Z20:AB20)=0,0,SUM(Z20:AB20)/'Sm Comm Cust Fcst'!H21)</f>
        <v>17153.407505208063</v>
      </c>
    </row>
    <row r="21" spans="1:29">
      <c r="A21" s="153" t="s">
        <v>122</v>
      </c>
      <c r="B21" s="137">
        <f>'Sm Comm Cust Fcst'!$B22*'Non-Residential TSM UC Adj'!J20</f>
        <v>0</v>
      </c>
      <c r="C21" s="23">
        <f>'Sm Comm Cust Fcst'!$B22*'Non-Residential TSM UC Adj'!K20</f>
        <v>0</v>
      </c>
      <c r="D21" s="23">
        <f>'Sm Comm Cust Fcst'!$B22*'Non-Residential TSM UC Adj'!L20</f>
        <v>0</v>
      </c>
      <c r="E21" s="45">
        <f>IF(SUM(B21:D21)=0,0,SUM(B21:D21)/'Sm Comm Cust Fcst'!B22)</f>
        <v>0</v>
      </c>
      <c r="F21" s="137">
        <f>'Sm Comm Cust Fcst'!$C22*'Non-Residential TSM UC Adj'!J20</f>
        <v>0</v>
      </c>
      <c r="G21" s="23">
        <f>'Sm Comm Cust Fcst'!$C22*'Non-Residential TSM UC Adj'!K20</f>
        <v>0</v>
      </c>
      <c r="H21" s="23">
        <f>'Sm Comm Cust Fcst'!$C22*'Non-Residential TSM UC Adj'!L20</f>
        <v>0</v>
      </c>
      <c r="I21" s="45">
        <f>IF(SUM(F21:H21)=0,0,SUM(F21:H21)/'Sm Comm Cust Fcst'!C22)</f>
        <v>0</v>
      </c>
      <c r="J21" s="137">
        <f>'Sm Comm Cust Fcst'!$D22*'Non-Residential TSM UC Adj'!J20</f>
        <v>0</v>
      </c>
      <c r="K21" s="23">
        <f>'Sm Comm Cust Fcst'!$D22*'Non-Residential TSM UC Adj'!K20</f>
        <v>0</v>
      </c>
      <c r="L21" s="23">
        <f>'Sm Comm Cust Fcst'!$D22*'Non-Residential TSM UC Adj'!L20</f>
        <v>0</v>
      </c>
      <c r="M21" s="45">
        <f>IF(SUM(J21:L21)=0,0,SUM(J21:L21)/'Sm Comm Cust Fcst'!D22)</f>
        <v>0</v>
      </c>
      <c r="N21" s="137">
        <f>'Sm Comm Cust Fcst'!$E22*'Non-Residential TSM UC Adj'!N20</f>
        <v>14168.457286169785</v>
      </c>
      <c r="O21" s="23">
        <f>'Sm Comm Cust Fcst'!$E22*'Non-Residential TSM UC Adj'!O20</f>
        <v>3881.3806159244828</v>
      </c>
      <c r="P21" s="23">
        <f>'Sm Comm Cust Fcst'!$E22*'Non-Residential TSM UC Adj'!P20</f>
        <v>865.67585029149416</v>
      </c>
      <c r="Q21" s="45">
        <f>IF(SUM(N21:P21)=0,0,SUM(N21:P21)/'Sm Comm Cust Fcst'!E22)</f>
        <v>18915.513752385759</v>
      </c>
      <c r="R21" s="137">
        <f t="shared" si="2"/>
        <v>14168.457286169785</v>
      </c>
      <c r="S21" s="23">
        <f t="shared" si="0"/>
        <v>3881.3806159244828</v>
      </c>
      <c r="T21" s="23">
        <f t="shared" si="0"/>
        <v>865.67585029149416</v>
      </c>
      <c r="U21" s="45">
        <f>IF(SUM(R21:T21)=0,0,SUM(R21:T21)/'Sm Comm Cust Fcst'!F22)</f>
        <v>18915.513752385759</v>
      </c>
      <c r="V21" s="137">
        <f>'Sm Comm Cust Fcst'!$G22*'Non-Residential TSM UC Adj'!R20</f>
        <v>0</v>
      </c>
      <c r="W21" s="23">
        <f>'Sm Comm Cust Fcst'!$G22*'Non-Residential TSM UC Adj'!S20</f>
        <v>3129.9273129422195</v>
      </c>
      <c r="X21" s="23">
        <f>'Sm Comm Cust Fcst'!$G22*'Non-Residential TSM UC Adj'!T20</f>
        <v>967.82163835260417</v>
      </c>
      <c r="Y21" s="45">
        <f>IF(SUM(V21:X21)=0,0,SUM(V21:X21)/'Sm Comm Cust Fcst'!G22)</f>
        <v>4097.7489512948232</v>
      </c>
      <c r="Z21" s="137">
        <f t="shared" si="3"/>
        <v>14168.457286169785</v>
      </c>
      <c r="AA21" s="23">
        <f t="shared" si="1"/>
        <v>7011.3079288667022</v>
      </c>
      <c r="AB21" s="23">
        <f t="shared" si="1"/>
        <v>1833.4974886440982</v>
      </c>
      <c r="AC21" s="45">
        <f>IF(SUM(Z21:AB21)=0,0,SUM(Z21:AB21)/'Sm Comm Cust Fcst'!H22)</f>
        <v>11506.631351840293</v>
      </c>
    </row>
    <row r="22" spans="1:29">
      <c r="A22" s="153" t="s">
        <v>123</v>
      </c>
      <c r="B22" s="137">
        <f>'Sm Comm Cust Fcst'!$B23*'Non-Residential TSM UC Adj'!J21</f>
        <v>0</v>
      </c>
      <c r="C22" s="23">
        <f>'Sm Comm Cust Fcst'!$B23*'Non-Residential TSM UC Adj'!K21</f>
        <v>0</v>
      </c>
      <c r="D22" s="23">
        <f>'Sm Comm Cust Fcst'!$B23*'Non-Residential TSM UC Adj'!L21</f>
        <v>0</v>
      </c>
      <c r="E22" s="45">
        <f>IF(SUM(B22:D22)=0,0,SUM(B22:D22)/'Sm Comm Cust Fcst'!B23)</f>
        <v>0</v>
      </c>
      <c r="F22" s="137">
        <f>'Sm Comm Cust Fcst'!$C23*'Non-Residential TSM UC Adj'!J21</f>
        <v>0</v>
      </c>
      <c r="G22" s="23">
        <f>'Sm Comm Cust Fcst'!$C23*'Non-Residential TSM UC Adj'!K21</f>
        <v>0</v>
      </c>
      <c r="H22" s="23">
        <f>'Sm Comm Cust Fcst'!$C23*'Non-Residential TSM UC Adj'!L21</f>
        <v>0</v>
      </c>
      <c r="I22" s="45">
        <f>IF(SUM(F22:H22)=0,0,SUM(F22:H22)/'Sm Comm Cust Fcst'!C23)</f>
        <v>0</v>
      </c>
      <c r="J22" s="137">
        <f>'Sm Comm Cust Fcst'!$D23*'Non-Residential TSM UC Adj'!J21</f>
        <v>0</v>
      </c>
      <c r="K22" s="23">
        <f>'Sm Comm Cust Fcst'!$D23*'Non-Residential TSM UC Adj'!K21</f>
        <v>0</v>
      </c>
      <c r="L22" s="23">
        <f>'Sm Comm Cust Fcst'!$D23*'Non-Residential TSM UC Adj'!L21</f>
        <v>0</v>
      </c>
      <c r="M22" s="45">
        <f>IF(SUM(J22:L22)=0,0,SUM(J22:L22)/'Sm Comm Cust Fcst'!D23)</f>
        <v>0</v>
      </c>
      <c r="N22" s="137">
        <f>'Sm Comm Cust Fcst'!$E23*'Non-Residential TSM UC Adj'!N21</f>
        <v>28336.91457233957</v>
      </c>
      <c r="O22" s="23">
        <f>'Sm Comm Cust Fcst'!$E23*'Non-Residential TSM UC Adj'!O21</f>
        <v>7762.7612318489655</v>
      </c>
      <c r="P22" s="23">
        <f>'Sm Comm Cust Fcst'!$E23*'Non-Residential TSM UC Adj'!P21</f>
        <v>1731.3517005829883</v>
      </c>
      <c r="Q22" s="45">
        <f>IF(SUM(N22:P22)=0,0,SUM(N22:P22)/'Sm Comm Cust Fcst'!E23)</f>
        <v>18915.513752385759</v>
      </c>
      <c r="R22" s="137">
        <f t="shared" si="2"/>
        <v>28336.91457233957</v>
      </c>
      <c r="S22" s="23">
        <f t="shared" si="0"/>
        <v>7762.7612318489655</v>
      </c>
      <c r="T22" s="23">
        <f t="shared" si="0"/>
        <v>1731.3517005829883</v>
      </c>
      <c r="U22" s="45">
        <f>IF(SUM(R22:T22)=0,0,SUM(R22:T22)/'Sm Comm Cust Fcst'!F23)</f>
        <v>18915.513752385759</v>
      </c>
      <c r="V22" s="137">
        <f>'Sm Comm Cust Fcst'!$G23*'Non-Residential TSM UC Adj'!R21</f>
        <v>0</v>
      </c>
      <c r="W22" s="23">
        <f>'Sm Comm Cust Fcst'!$G23*'Non-Residential TSM UC Adj'!S21</f>
        <v>0</v>
      </c>
      <c r="X22" s="23">
        <f>'Sm Comm Cust Fcst'!$G23*'Non-Residential TSM UC Adj'!T21</f>
        <v>0</v>
      </c>
      <c r="Y22" s="45">
        <f>IF(SUM(V22:X22)=0,0,SUM(V22:X22)/'Sm Comm Cust Fcst'!G23)</f>
        <v>0</v>
      </c>
      <c r="Z22" s="137">
        <f t="shared" si="3"/>
        <v>28336.91457233957</v>
      </c>
      <c r="AA22" s="23">
        <f t="shared" si="1"/>
        <v>7762.7612318489655</v>
      </c>
      <c r="AB22" s="23">
        <f t="shared" si="1"/>
        <v>1731.3517005829883</v>
      </c>
      <c r="AC22" s="45">
        <f>IF(SUM(Z22:AB22)=0,0,SUM(Z22:AB22)/'Sm Comm Cust Fcst'!H23)</f>
        <v>18915.513752385759</v>
      </c>
    </row>
    <row r="23" spans="1:29">
      <c r="A23" s="153" t="s">
        <v>14</v>
      </c>
      <c r="B23" s="137">
        <f>'Sm Comm Cust Fcst'!$B24*'Non-Residential TSM UC Adj'!J22</f>
        <v>0</v>
      </c>
      <c r="C23" s="23">
        <f>'Sm Comm Cust Fcst'!$B24*'Non-Residential TSM UC Adj'!K22</f>
        <v>0</v>
      </c>
      <c r="D23" s="23">
        <f>'Sm Comm Cust Fcst'!$B24*'Non-Residential TSM UC Adj'!L22</f>
        <v>0</v>
      </c>
      <c r="E23" s="45">
        <f>IF(SUM(B23:D23)=0,0,SUM(B23:D23)/'Sm Comm Cust Fcst'!B24)</f>
        <v>0</v>
      </c>
      <c r="F23" s="137">
        <f>'Sm Comm Cust Fcst'!$C24*'Non-Residential TSM UC Adj'!J22</f>
        <v>0</v>
      </c>
      <c r="G23" s="23">
        <f>'Sm Comm Cust Fcst'!$C24*'Non-Residential TSM UC Adj'!K22</f>
        <v>0</v>
      </c>
      <c r="H23" s="23">
        <f>'Sm Comm Cust Fcst'!$C24*'Non-Residential TSM UC Adj'!L22</f>
        <v>0</v>
      </c>
      <c r="I23" s="45">
        <f>IF(SUM(F23:H23)=0,0,SUM(F23:H23)/'Sm Comm Cust Fcst'!C24)</f>
        <v>0</v>
      </c>
      <c r="J23" s="137">
        <f>'Sm Comm Cust Fcst'!$D24*'Non-Residential TSM UC Adj'!J22</f>
        <v>0</v>
      </c>
      <c r="K23" s="23">
        <f>'Sm Comm Cust Fcst'!$D24*'Non-Residential TSM UC Adj'!K22</f>
        <v>0</v>
      </c>
      <c r="L23" s="23">
        <f>'Sm Comm Cust Fcst'!$D24*'Non-Residential TSM UC Adj'!L22</f>
        <v>0</v>
      </c>
      <c r="M23" s="45">
        <f>IF(SUM(J23:L23)=0,0,SUM(J23:L23)/'Sm Comm Cust Fcst'!D24)</f>
        <v>0</v>
      </c>
      <c r="N23" s="137">
        <f>'Sm Comm Cust Fcst'!$E24*'Non-Residential TSM UC Adj'!N22</f>
        <v>0</v>
      </c>
      <c r="O23" s="23">
        <f>'Sm Comm Cust Fcst'!$E24*'Non-Residential TSM UC Adj'!O22</f>
        <v>0</v>
      </c>
      <c r="P23" s="23">
        <f>'Sm Comm Cust Fcst'!$E24*'Non-Residential TSM UC Adj'!P22</f>
        <v>0</v>
      </c>
      <c r="Q23" s="45">
        <f>IF(SUM(N23:P23)=0,0,SUM(N23:P23)/'Sm Comm Cust Fcst'!E24)</f>
        <v>0</v>
      </c>
      <c r="R23" s="137">
        <f t="shared" si="2"/>
        <v>0</v>
      </c>
      <c r="S23" s="23">
        <f t="shared" si="0"/>
        <v>0</v>
      </c>
      <c r="T23" s="23">
        <f t="shared" si="0"/>
        <v>0</v>
      </c>
      <c r="U23" s="45">
        <f>IF(SUM(R23:T23)=0,0,SUM(R23:T23)/'Sm Comm Cust Fcst'!F24)</f>
        <v>0</v>
      </c>
      <c r="V23" s="137">
        <f>'Sm Comm Cust Fcst'!$G24*'Non-Residential TSM UC Adj'!R22</f>
        <v>0</v>
      </c>
      <c r="W23" s="23">
        <f>'Sm Comm Cust Fcst'!$G24*'Non-Residential TSM UC Adj'!S22</f>
        <v>0</v>
      </c>
      <c r="X23" s="23">
        <f>'Sm Comm Cust Fcst'!$G24*'Non-Residential TSM UC Adj'!T22</f>
        <v>0</v>
      </c>
      <c r="Y23" s="45">
        <f>IF(SUM(V23:X23)=0,0,SUM(V23:X23)/'Sm Comm Cust Fcst'!G24)</f>
        <v>0</v>
      </c>
      <c r="Z23" s="137">
        <f t="shared" si="3"/>
        <v>0</v>
      </c>
      <c r="AA23" s="23">
        <f t="shared" si="1"/>
        <v>0</v>
      </c>
      <c r="AB23" s="23">
        <f t="shared" si="1"/>
        <v>0</v>
      </c>
      <c r="AC23" s="45">
        <f>IF(SUM(Z23:AB23)=0,0,SUM(Z23:AB23)/'Sm Comm Cust Fcst'!H24)</f>
        <v>0</v>
      </c>
    </row>
    <row r="24" spans="1:29">
      <c r="A24" s="153" t="s">
        <v>15</v>
      </c>
      <c r="B24" s="137">
        <f>'Sm Comm Cust Fcst'!$B25*'Non-Residential TSM UC Adj'!J23</f>
        <v>0</v>
      </c>
      <c r="C24" s="23">
        <f>'Sm Comm Cust Fcst'!$B25*'Non-Residential TSM UC Adj'!K23</f>
        <v>0</v>
      </c>
      <c r="D24" s="23">
        <f>'Sm Comm Cust Fcst'!$B25*'Non-Residential TSM UC Adj'!L23</f>
        <v>0</v>
      </c>
      <c r="E24" s="45">
        <f>IF(SUM(B24:D24)=0,0,SUM(B24:D24)/'Sm Comm Cust Fcst'!B25)</f>
        <v>0</v>
      </c>
      <c r="F24" s="137">
        <f>'Sm Comm Cust Fcst'!$C25*'Non-Residential TSM UC Adj'!J23</f>
        <v>0</v>
      </c>
      <c r="G24" s="23">
        <f>'Sm Comm Cust Fcst'!$C25*'Non-Residential TSM UC Adj'!K23</f>
        <v>0</v>
      </c>
      <c r="H24" s="23">
        <f>'Sm Comm Cust Fcst'!$C25*'Non-Residential TSM UC Adj'!L23</f>
        <v>0</v>
      </c>
      <c r="I24" s="45">
        <f>IF(SUM(F24:H24)=0,0,SUM(F24:H24)/'Sm Comm Cust Fcst'!C25)</f>
        <v>0</v>
      </c>
      <c r="J24" s="137">
        <f>'Sm Comm Cust Fcst'!$D25*'Non-Residential TSM UC Adj'!J23</f>
        <v>0</v>
      </c>
      <c r="K24" s="23">
        <f>'Sm Comm Cust Fcst'!$D25*'Non-Residential TSM UC Adj'!K23</f>
        <v>0</v>
      </c>
      <c r="L24" s="23">
        <f>'Sm Comm Cust Fcst'!$D25*'Non-Residential TSM UC Adj'!L23</f>
        <v>0</v>
      </c>
      <c r="M24" s="45">
        <f>IF(SUM(J24:L24)=0,0,SUM(J24:L24)/'Sm Comm Cust Fcst'!D25)</f>
        <v>0</v>
      </c>
      <c r="N24" s="137">
        <f>'Sm Comm Cust Fcst'!$E25*'Non-Residential TSM UC Adj'!N23</f>
        <v>0</v>
      </c>
      <c r="O24" s="23">
        <f>'Sm Comm Cust Fcst'!$E25*'Non-Residential TSM UC Adj'!O23</f>
        <v>0</v>
      </c>
      <c r="P24" s="23">
        <f>'Sm Comm Cust Fcst'!$E25*'Non-Residential TSM UC Adj'!P23</f>
        <v>0</v>
      </c>
      <c r="Q24" s="45">
        <f>IF(SUM(N24:P24)=0,0,SUM(N24:P24)/'Sm Comm Cust Fcst'!E25)</f>
        <v>0</v>
      </c>
      <c r="R24" s="137">
        <f t="shared" si="2"/>
        <v>0</v>
      </c>
      <c r="S24" s="23">
        <f t="shared" si="2"/>
        <v>0</v>
      </c>
      <c r="T24" s="23">
        <f t="shared" si="2"/>
        <v>0</v>
      </c>
      <c r="U24" s="45">
        <f>IF(SUM(R24:T24)=0,0,SUM(R24:T24)/'Sm Comm Cust Fcst'!F25)</f>
        <v>0</v>
      </c>
      <c r="V24" s="137">
        <f>'Sm Comm Cust Fcst'!$G25*'Non-Residential TSM UC Adj'!R23</f>
        <v>0</v>
      </c>
      <c r="W24" s="23">
        <f>'Sm Comm Cust Fcst'!$G25*'Non-Residential TSM UC Adj'!S23</f>
        <v>0</v>
      </c>
      <c r="X24" s="23">
        <f>'Sm Comm Cust Fcst'!$G25*'Non-Residential TSM UC Adj'!T23</f>
        <v>0</v>
      </c>
      <c r="Y24" s="45">
        <f>IF(SUM(V24:X24)=0,0,SUM(V24:X24)/'Sm Comm Cust Fcst'!G25)</f>
        <v>0</v>
      </c>
      <c r="Z24" s="137">
        <f t="shared" si="3"/>
        <v>0</v>
      </c>
      <c r="AA24" s="23">
        <f t="shared" si="3"/>
        <v>0</v>
      </c>
      <c r="AB24" s="23">
        <f t="shared" si="3"/>
        <v>0</v>
      </c>
      <c r="AC24" s="45">
        <f>IF(SUM(Z24:AB24)=0,0,SUM(Z24:AB24)/'Sm Comm Cust Fcst'!H25)</f>
        <v>0</v>
      </c>
    </row>
    <row r="25" spans="1:29">
      <c r="A25" s="153" t="s">
        <v>16</v>
      </c>
      <c r="B25" s="137">
        <f>'Sm Comm Cust Fcst'!$B26*'Non-Residential TSM UC Adj'!J24</f>
        <v>0</v>
      </c>
      <c r="C25" s="23">
        <f>'Sm Comm Cust Fcst'!$B26*'Non-Residential TSM UC Adj'!K24</f>
        <v>0</v>
      </c>
      <c r="D25" s="23">
        <f>'Sm Comm Cust Fcst'!$B26*'Non-Residential TSM UC Adj'!L24</f>
        <v>0</v>
      </c>
      <c r="E25" s="45">
        <f>IF(SUM(B25:D25)=0,0,SUM(B25:D25)/'Sm Comm Cust Fcst'!B26)</f>
        <v>0</v>
      </c>
      <c r="F25" s="137">
        <f>'Sm Comm Cust Fcst'!$C26*'Non-Residential TSM UC Adj'!J24</f>
        <v>0</v>
      </c>
      <c r="G25" s="23">
        <f>'Sm Comm Cust Fcst'!$C26*'Non-Residential TSM UC Adj'!K24</f>
        <v>0</v>
      </c>
      <c r="H25" s="23">
        <f>'Sm Comm Cust Fcst'!$C26*'Non-Residential TSM UC Adj'!L24</f>
        <v>0</v>
      </c>
      <c r="I25" s="45">
        <f>IF(SUM(F25:H25)=0,0,SUM(F25:H25)/'Sm Comm Cust Fcst'!C26)</f>
        <v>0</v>
      </c>
      <c r="J25" s="137">
        <f>'Sm Comm Cust Fcst'!$D26*'Non-Residential TSM UC Adj'!J24</f>
        <v>0</v>
      </c>
      <c r="K25" s="23">
        <f>'Sm Comm Cust Fcst'!$D26*'Non-Residential TSM UC Adj'!K24</f>
        <v>0</v>
      </c>
      <c r="L25" s="23">
        <f>'Sm Comm Cust Fcst'!$D26*'Non-Residential TSM UC Adj'!L24</f>
        <v>0</v>
      </c>
      <c r="M25" s="45">
        <f>IF(SUM(J25:L25)=0,0,SUM(J25:L25)/'Sm Comm Cust Fcst'!D26)</f>
        <v>0</v>
      </c>
      <c r="N25" s="137">
        <f>'Sm Comm Cust Fcst'!$E26*'Non-Residential TSM UC Adj'!N24</f>
        <v>34353.01585099873</v>
      </c>
      <c r="O25" s="23">
        <f>'Sm Comm Cust Fcst'!$E26*'Non-Residential TSM UC Adj'!O24</f>
        <v>6332.3820101775018</v>
      </c>
      <c r="P25" s="23">
        <f>'Sm Comm Cust Fcst'!$E26*'Non-Residential TSM UC Adj'!P24</f>
        <v>865.67585029149416</v>
      </c>
      <c r="Q25" s="45">
        <f>IF(SUM(N25:P25)=0,0,SUM(N25:P25)/'Sm Comm Cust Fcst'!E26)</f>
        <v>41551.073711467725</v>
      </c>
      <c r="R25" s="137">
        <f t="shared" si="2"/>
        <v>34353.01585099873</v>
      </c>
      <c r="S25" s="23">
        <f t="shared" si="2"/>
        <v>6332.3820101775018</v>
      </c>
      <c r="T25" s="23">
        <f t="shared" si="2"/>
        <v>865.67585029149416</v>
      </c>
      <c r="U25" s="45">
        <f>IF(SUM(R25:T25)=0,0,SUM(R25:T25)/'Sm Comm Cust Fcst'!F26)</f>
        <v>41551.073711467725</v>
      </c>
      <c r="V25" s="137">
        <f>'Sm Comm Cust Fcst'!$G26*'Non-Residential TSM UC Adj'!R24</f>
        <v>0</v>
      </c>
      <c r="W25" s="23">
        <f>'Sm Comm Cust Fcst'!$G26*'Non-Residential TSM UC Adj'!S24</f>
        <v>0</v>
      </c>
      <c r="X25" s="23">
        <f>'Sm Comm Cust Fcst'!$G26*'Non-Residential TSM UC Adj'!T24</f>
        <v>0</v>
      </c>
      <c r="Y25" s="45">
        <f>IF(SUM(V25:X25)=0,0,SUM(V25:X25)/'Sm Comm Cust Fcst'!G26)</f>
        <v>0</v>
      </c>
      <c r="Z25" s="137">
        <f t="shared" si="3"/>
        <v>34353.01585099873</v>
      </c>
      <c r="AA25" s="23">
        <f t="shared" si="3"/>
        <v>6332.3820101775018</v>
      </c>
      <c r="AB25" s="23">
        <f t="shared" si="3"/>
        <v>865.67585029149416</v>
      </c>
      <c r="AC25" s="45">
        <f>IF(SUM(Z25:AB25)=0,0,SUM(Z25:AB25)/'Sm Comm Cust Fcst'!H26)</f>
        <v>41551.073711467725</v>
      </c>
    </row>
    <row r="26" spans="1:29">
      <c r="A26" s="153" t="s">
        <v>17</v>
      </c>
      <c r="B26" s="137">
        <f>'Sm Comm Cust Fcst'!$B27*'Non-Residential TSM UC Adj'!J25</f>
        <v>0</v>
      </c>
      <c r="C26" s="23">
        <f>'Sm Comm Cust Fcst'!$B27*'Non-Residential TSM UC Adj'!K25</f>
        <v>0</v>
      </c>
      <c r="D26" s="23">
        <f>'Sm Comm Cust Fcst'!$B27*'Non-Residential TSM UC Adj'!L25</f>
        <v>0</v>
      </c>
      <c r="E26" s="45">
        <f>IF(SUM(B26:D26)=0,0,SUM(B26:D26)/'Sm Comm Cust Fcst'!B27)</f>
        <v>0</v>
      </c>
      <c r="F26" s="137">
        <f>'Sm Comm Cust Fcst'!$C27*'Non-Residential TSM UC Adj'!J25</f>
        <v>0</v>
      </c>
      <c r="G26" s="23">
        <f>'Sm Comm Cust Fcst'!$C27*'Non-Residential TSM UC Adj'!K25</f>
        <v>0</v>
      </c>
      <c r="H26" s="23">
        <f>'Sm Comm Cust Fcst'!$C27*'Non-Residential TSM UC Adj'!L25</f>
        <v>0</v>
      </c>
      <c r="I26" s="45">
        <f>IF(SUM(F26:H26)=0,0,SUM(F26:H26)/'Sm Comm Cust Fcst'!C27)</f>
        <v>0</v>
      </c>
      <c r="J26" s="137">
        <f>'Sm Comm Cust Fcst'!$D27*'Non-Residential TSM UC Adj'!J25</f>
        <v>39374.705413198702</v>
      </c>
      <c r="K26" s="23">
        <f>'Sm Comm Cust Fcst'!$D27*'Non-Residential TSM UC Adj'!K25</f>
        <v>28495.71904579876</v>
      </c>
      <c r="L26" s="23">
        <f>'Sm Comm Cust Fcst'!$D27*'Non-Residential TSM UC Adj'!L25</f>
        <v>865.67585029149416</v>
      </c>
      <c r="M26" s="45">
        <f>IF(SUM(J26:L26)=0,0,SUM(J26:L26)/'Sm Comm Cust Fcst'!D27)</f>
        <v>68736.100309288959</v>
      </c>
      <c r="N26" s="137">
        <f>'Sm Comm Cust Fcst'!$E27*'Non-Residential TSM UC Adj'!N25</f>
        <v>0</v>
      </c>
      <c r="O26" s="23">
        <f>'Sm Comm Cust Fcst'!$E27*'Non-Residential TSM UC Adj'!O25</f>
        <v>0</v>
      </c>
      <c r="P26" s="23">
        <f>'Sm Comm Cust Fcst'!$E27*'Non-Residential TSM UC Adj'!P25</f>
        <v>0</v>
      </c>
      <c r="Q26" s="45">
        <f>IF(SUM(N26:P26)=0,0,SUM(N26:P26)/'Sm Comm Cust Fcst'!E27)</f>
        <v>0</v>
      </c>
      <c r="R26" s="137">
        <f t="shared" si="2"/>
        <v>39374.705413198702</v>
      </c>
      <c r="S26" s="23">
        <f t="shared" si="2"/>
        <v>28495.71904579876</v>
      </c>
      <c r="T26" s="23">
        <f t="shared" si="2"/>
        <v>865.67585029149416</v>
      </c>
      <c r="U26" s="45">
        <f>IF(SUM(R26:T26)=0,0,SUM(R26:T26)/'Sm Comm Cust Fcst'!F27)</f>
        <v>68736.100309288959</v>
      </c>
      <c r="V26" s="137">
        <f>'Sm Comm Cust Fcst'!$G27*'Non-Residential TSM UC Adj'!R25</f>
        <v>0</v>
      </c>
      <c r="W26" s="23">
        <f>'Sm Comm Cust Fcst'!$G27*'Non-Residential TSM UC Adj'!S25</f>
        <v>0</v>
      </c>
      <c r="X26" s="23">
        <f>'Sm Comm Cust Fcst'!$G27*'Non-Residential TSM UC Adj'!T25</f>
        <v>0</v>
      </c>
      <c r="Y26" s="45">
        <f>IF(SUM(V26:X26)=0,0,SUM(V26:X26)/'Sm Comm Cust Fcst'!G27)</f>
        <v>0</v>
      </c>
      <c r="Z26" s="137">
        <f t="shared" si="3"/>
        <v>39374.705413198702</v>
      </c>
      <c r="AA26" s="23">
        <f t="shared" si="3"/>
        <v>28495.71904579876</v>
      </c>
      <c r="AB26" s="23">
        <f t="shared" si="3"/>
        <v>865.67585029149416</v>
      </c>
      <c r="AC26" s="45">
        <f>IF(SUM(Z26:AB26)=0,0,SUM(Z26:AB26)/'Sm Comm Cust Fcst'!H27)</f>
        <v>68736.100309288959</v>
      </c>
    </row>
    <row r="27" spans="1:29">
      <c r="A27" s="153" t="s">
        <v>18</v>
      </c>
      <c r="B27" s="137">
        <f>'Sm Comm Cust Fcst'!$B28*'Non-Residential TSM UC Adj'!J26</f>
        <v>0</v>
      </c>
      <c r="C27" s="23">
        <f>'Sm Comm Cust Fcst'!$B28*'Non-Residential TSM UC Adj'!K26</f>
        <v>0</v>
      </c>
      <c r="D27" s="23">
        <f>'Sm Comm Cust Fcst'!$B28*'Non-Residential TSM UC Adj'!L26</f>
        <v>0</v>
      </c>
      <c r="E27" s="45">
        <f>IF(SUM(B27:D27)=0,0,SUM(B27:D27)/'Sm Comm Cust Fcst'!B28)</f>
        <v>0</v>
      </c>
      <c r="F27" s="137">
        <f>'Sm Comm Cust Fcst'!$C28*'Non-Residential TSM UC Adj'!J26</f>
        <v>0</v>
      </c>
      <c r="G27" s="23">
        <f>'Sm Comm Cust Fcst'!$C28*'Non-Residential TSM UC Adj'!K26</f>
        <v>0</v>
      </c>
      <c r="H27" s="23">
        <f>'Sm Comm Cust Fcst'!$C28*'Non-Residential TSM UC Adj'!L26</f>
        <v>0</v>
      </c>
      <c r="I27" s="45">
        <f>IF(SUM(F27:H27)=0,0,SUM(F27:H27)/'Sm Comm Cust Fcst'!C28)</f>
        <v>0</v>
      </c>
      <c r="J27" s="137">
        <f>'Sm Comm Cust Fcst'!$D28*'Non-Residential TSM UC Adj'!J26</f>
        <v>0</v>
      </c>
      <c r="K27" s="23">
        <f>'Sm Comm Cust Fcst'!$D28*'Non-Residential TSM UC Adj'!K26</f>
        <v>0</v>
      </c>
      <c r="L27" s="23">
        <f>'Sm Comm Cust Fcst'!$D28*'Non-Residential TSM UC Adj'!L26</f>
        <v>0</v>
      </c>
      <c r="M27" s="45">
        <f>IF(SUM(J27:L27)=0,0,SUM(J27:L27)/'Sm Comm Cust Fcst'!D28)</f>
        <v>0</v>
      </c>
      <c r="N27" s="137">
        <f>'Sm Comm Cust Fcst'!$E28*'Non-Residential TSM UC Adj'!N26</f>
        <v>0</v>
      </c>
      <c r="O27" s="23">
        <f>'Sm Comm Cust Fcst'!$E28*'Non-Residential TSM UC Adj'!O26</f>
        <v>0</v>
      </c>
      <c r="P27" s="23">
        <f>'Sm Comm Cust Fcst'!$E28*'Non-Residential TSM UC Adj'!P26</f>
        <v>0</v>
      </c>
      <c r="Q27" s="45">
        <f>IF(SUM(N27:P27)=0,0,SUM(N27:P27)/'Sm Comm Cust Fcst'!E28)</f>
        <v>0</v>
      </c>
      <c r="R27" s="137">
        <f t="shared" si="2"/>
        <v>0</v>
      </c>
      <c r="S27" s="23">
        <f t="shared" si="2"/>
        <v>0</v>
      </c>
      <c r="T27" s="23">
        <f t="shared" si="2"/>
        <v>0</v>
      </c>
      <c r="U27" s="45">
        <f>IF(SUM(R27:T27)=0,0,SUM(R27:T27)/'Sm Comm Cust Fcst'!F28)</f>
        <v>0</v>
      </c>
      <c r="V27" s="137">
        <f>'Sm Comm Cust Fcst'!$G28*'Non-Residential TSM UC Adj'!R26</f>
        <v>0</v>
      </c>
      <c r="W27" s="23">
        <f>'Sm Comm Cust Fcst'!$G28*'Non-Residential TSM UC Adj'!S26</f>
        <v>0</v>
      </c>
      <c r="X27" s="23">
        <f>'Sm Comm Cust Fcst'!$G28*'Non-Residential TSM UC Adj'!T26</f>
        <v>0</v>
      </c>
      <c r="Y27" s="45">
        <f>IF(SUM(V27:X27)=0,0,SUM(V27:X27)/'Sm Comm Cust Fcst'!G28)</f>
        <v>0</v>
      </c>
      <c r="Z27" s="137">
        <f t="shared" si="3"/>
        <v>0</v>
      </c>
      <c r="AA27" s="23">
        <f t="shared" si="3"/>
        <v>0</v>
      </c>
      <c r="AB27" s="23">
        <f t="shared" si="3"/>
        <v>0</v>
      </c>
      <c r="AC27" s="45">
        <f>IF(SUM(Z27:AB27)=0,0,SUM(Z27:AB27)/'Sm Comm Cust Fcst'!H28)</f>
        <v>0</v>
      </c>
    </row>
    <row r="28" spans="1:29">
      <c r="A28" s="153" t="s">
        <v>19</v>
      </c>
      <c r="B28" s="137">
        <f>'Sm Comm Cust Fcst'!$B29*'Non-Residential TSM UC Adj'!J27</f>
        <v>0</v>
      </c>
      <c r="C28" s="23">
        <f>'Sm Comm Cust Fcst'!$B29*'Non-Residential TSM UC Adj'!K27</f>
        <v>0</v>
      </c>
      <c r="D28" s="23">
        <f>'Sm Comm Cust Fcst'!$B29*'Non-Residential TSM UC Adj'!L27</f>
        <v>0</v>
      </c>
      <c r="E28" s="45">
        <f>IF(SUM(B28:D28)=0,0,SUM(B28:D28)/'Sm Comm Cust Fcst'!B29)</f>
        <v>0</v>
      </c>
      <c r="F28" s="137">
        <f>'Sm Comm Cust Fcst'!$C29*'Non-Residential TSM UC Adj'!J27</f>
        <v>0</v>
      </c>
      <c r="G28" s="23">
        <f>'Sm Comm Cust Fcst'!$C29*'Non-Residential TSM UC Adj'!K27</f>
        <v>0</v>
      </c>
      <c r="H28" s="23">
        <f>'Sm Comm Cust Fcst'!$C29*'Non-Residential TSM UC Adj'!L27</f>
        <v>0</v>
      </c>
      <c r="I28" s="45">
        <f>IF(SUM(F28:H28)=0,0,SUM(F28:H28)/'Sm Comm Cust Fcst'!C29)</f>
        <v>0</v>
      </c>
      <c r="J28" s="137">
        <f>'Sm Comm Cust Fcst'!$D29*'Non-Residential TSM UC Adj'!J27</f>
        <v>0</v>
      </c>
      <c r="K28" s="23">
        <f>'Sm Comm Cust Fcst'!$D29*'Non-Residential TSM UC Adj'!K27</f>
        <v>0</v>
      </c>
      <c r="L28" s="23">
        <f>'Sm Comm Cust Fcst'!$D29*'Non-Residential TSM UC Adj'!L27</f>
        <v>0</v>
      </c>
      <c r="M28" s="45">
        <f>IF(SUM(J28:L28)=0,0,SUM(J28:L28)/'Sm Comm Cust Fcst'!D29)</f>
        <v>0</v>
      </c>
      <c r="N28" s="137">
        <f>'Sm Comm Cust Fcst'!$E29*'Non-Residential TSM UC Adj'!N27</f>
        <v>0</v>
      </c>
      <c r="O28" s="23">
        <f>'Sm Comm Cust Fcst'!$E29*'Non-Residential TSM UC Adj'!O27</f>
        <v>0</v>
      </c>
      <c r="P28" s="23">
        <f>'Sm Comm Cust Fcst'!$E29*'Non-Residential TSM UC Adj'!P27</f>
        <v>0</v>
      </c>
      <c r="Q28" s="45">
        <f>IF(SUM(N28:P28)=0,0,SUM(N28:P28)/'Sm Comm Cust Fcst'!E29)</f>
        <v>0</v>
      </c>
      <c r="R28" s="137">
        <f t="shared" si="2"/>
        <v>0</v>
      </c>
      <c r="S28" s="23">
        <f t="shared" si="2"/>
        <v>0</v>
      </c>
      <c r="T28" s="23">
        <f t="shared" si="2"/>
        <v>0</v>
      </c>
      <c r="U28" s="45">
        <f>IF(SUM(R28:T28)=0,0,SUM(R28:T28)/'Sm Comm Cust Fcst'!F29)</f>
        <v>0</v>
      </c>
      <c r="V28" s="137">
        <f>'Sm Comm Cust Fcst'!$G29*'Non-Residential TSM UC Adj'!R27</f>
        <v>0</v>
      </c>
      <c r="W28" s="23">
        <f>'Sm Comm Cust Fcst'!$G29*'Non-Residential TSM UC Adj'!S27</f>
        <v>0</v>
      </c>
      <c r="X28" s="23">
        <f>'Sm Comm Cust Fcst'!$G29*'Non-Residential TSM UC Adj'!T27</f>
        <v>0</v>
      </c>
      <c r="Y28" s="45">
        <f>IF(SUM(V28:X28)=0,0,SUM(V28:X28)/'Sm Comm Cust Fcst'!G29)</f>
        <v>0</v>
      </c>
      <c r="Z28" s="137">
        <f t="shared" si="3"/>
        <v>0</v>
      </c>
      <c r="AA28" s="23">
        <f t="shared" si="3"/>
        <v>0</v>
      </c>
      <c r="AB28" s="23">
        <f t="shared" si="3"/>
        <v>0</v>
      </c>
      <c r="AC28" s="45">
        <f>IF(SUM(Z28:AB28)=0,0,SUM(Z28:AB28)/'Sm Comm Cust Fcst'!H29)</f>
        <v>0</v>
      </c>
    </row>
    <row r="29" spans="1:29">
      <c r="A29" s="153" t="s">
        <v>20</v>
      </c>
      <c r="B29" s="137">
        <f>'Sm Comm Cust Fcst'!$B30*'Non-Residential TSM UC Adj'!J28</f>
        <v>0</v>
      </c>
      <c r="C29" s="23">
        <f>'Sm Comm Cust Fcst'!$B30*'Non-Residential TSM UC Adj'!K28</f>
        <v>0</v>
      </c>
      <c r="D29" s="23">
        <f>'Sm Comm Cust Fcst'!$B30*'Non-Residential TSM UC Adj'!L28</f>
        <v>0</v>
      </c>
      <c r="E29" s="45">
        <f>IF(SUM(B29:D29)=0,0,SUM(B29:D29)/'Sm Comm Cust Fcst'!B30)</f>
        <v>0</v>
      </c>
      <c r="F29" s="137">
        <f>'Sm Comm Cust Fcst'!$C30*'Non-Residential TSM UC Adj'!J28</f>
        <v>0</v>
      </c>
      <c r="G29" s="23">
        <f>'Sm Comm Cust Fcst'!$C30*'Non-Residential TSM UC Adj'!K28</f>
        <v>0</v>
      </c>
      <c r="H29" s="23">
        <f>'Sm Comm Cust Fcst'!$C30*'Non-Residential TSM UC Adj'!L28</f>
        <v>0</v>
      </c>
      <c r="I29" s="45">
        <f>IF(SUM(F29:H29)=0,0,SUM(F29:H29)/'Sm Comm Cust Fcst'!C30)</f>
        <v>0</v>
      </c>
      <c r="J29" s="137">
        <f>'Sm Comm Cust Fcst'!$D30*'Non-Residential TSM UC Adj'!J28</f>
        <v>0</v>
      </c>
      <c r="K29" s="23">
        <f>'Sm Comm Cust Fcst'!$D30*'Non-Residential TSM UC Adj'!K28</f>
        <v>0</v>
      </c>
      <c r="L29" s="23">
        <f>'Sm Comm Cust Fcst'!$D30*'Non-Residential TSM UC Adj'!L28</f>
        <v>0</v>
      </c>
      <c r="M29" s="45">
        <f>IF(SUM(J29:L29)=0,0,SUM(J29:L29)/'Sm Comm Cust Fcst'!D30)</f>
        <v>0</v>
      </c>
      <c r="N29" s="137">
        <f>'Sm Comm Cust Fcst'!$E30*'Non-Residential TSM UC Adj'!N28</f>
        <v>0</v>
      </c>
      <c r="O29" s="23">
        <f>'Sm Comm Cust Fcst'!$E30*'Non-Residential TSM UC Adj'!O28</f>
        <v>0</v>
      </c>
      <c r="P29" s="23">
        <f>'Sm Comm Cust Fcst'!$E30*'Non-Residential TSM UC Adj'!P28</f>
        <v>0</v>
      </c>
      <c r="Q29" s="45">
        <f>IF(SUM(N29:P29)=0,0,SUM(N29:P29)/'Sm Comm Cust Fcst'!E30)</f>
        <v>0</v>
      </c>
      <c r="R29" s="137">
        <f t="shared" si="2"/>
        <v>0</v>
      </c>
      <c r="S29" s="23">
        <f t="shared" si="2"/>
        <v>0</v>
      </c>
      <c r="T29" s="23">
        <f t="shared" si="2"/>
        <v>0</v>
      </c>
      <c r="U29" s="45">
        <f>IF(SUM(R29:T29)=0,0,SUM(R29:T29)/'Sm Comm Cust Fcst'!F30)</f>
        <v>0</v>
      </c>
      <c r="V29" s="137">
        <f>'Sm Comm Cust Fcst'!$G30*'Non-Residential TSM UC Adj'!R28</f>
        <v>0</v>
      </c>
      <c r="W29" s="23">
        <f>'Sm Comm Cust Fcst'!$G30*'Non-Residential TSM UC Adj'!S28</f>
        <v>0</v>
      </c>
      <c r="X29" s="23">
        <f>'Sm Comm Cust Fcst'!$G30*'Non-Residential TSM UC Adj'!T28</f>
        <v>0</v>
      </c>
      <c r="Y29" s="45">
        <f>IF(SUM(V29:X29)=0,0,SUM(V29:X29)/'Sm Comm Cust Fcst'!G30)</f>
        <v>0</v>
      </c>
      <c r="Z29" s="137">
        <f t="shared" si="3"/>
        <v>0</v>
      </c>
      <c r="AA29" s="23">
        <f t="shared" si="3"/>
        <v>0</v>
      </c>
      <c r="AB29" s="23">
        <f t="shared" si="3"/>
        <v>0</v>
      </c>
      <c r="AC29" s="45">
        <f>IF(SUM(Z29:AB29)=0,0,SUM(Z29:AB29)/'Sm Comm Cust Fcst'!H30)</f>
        <v>0</v>
      </c>
    </row>
    <row r="30" spans="1:29">
      <c r="A30" s="153" t="s">
        <v>21</v>
      </c>
      <c r="B30" s="137">
        <f>'Sm Comm Cust Fcst'!$B31*'Non-Residential TSM UC Adj'!J29</f>
        <v>0</v>
      </c>
      <c r="C30" s="23">
        <f>'Sm Comm Cust Fcst'!$B31*'Non-Residential TSM UC Adj'!K29</f>
        <v>0</v>
      </c>
      <c r="D30" s="23">
        <f>'Sm Comm Cust Fcst'!$B31*'Non-Residential TSM UC Adj'!L29</f>
        <v>0</v>
      </c>
      <c r="E30" s="45">
        <f>IF(SUM(B30:D30)=0,0,SUM(B30:D30)/'Sm Comm Cust Fcst'!B31)</f>
        <v>0</v>
      </c>
      <c r="F30" s="137">
        <f>'Sm Comm Cust Fcst'!$C31*'Non-Residential TSM UC Adj'!J29</f>
        <v>0</v>
      </c>
      <c r="G30" s="23">
        <f>'Sm Comm Cust Fcst'!$C31*'Non-Residential TSM UC Adj'!K29</f>
        <v>0</v>
      </c>
      <c r="H30" s="23">
        <f>'Sm Comm Cust Fcst'!$C31*'Non-Residential TSM UC Adj'!L29</f>
        <v>0</v>
      </c>
      <c r="I30" s="45">
        <f>IF(SUM(F30:H30)=0,0,SUM(F30:H30)/'Sm Comm Cust Fcst'!C31)</f>
        <v>0</v>
      </c>
      <c r="J30" s="137">
        <f>'Sm Comm Cust Fcst'!$D31*'Non-Residential TSM UC Adj'!J29</f>
        <v>0</v>
      </c>
      <c r="K30" s="23">
        <f>'Sm Comm Cust Fcst'!$D31*'Non-Residential TSM UC Adj'!K29</f>
        <v>0</v>
      </c>
      <c r="L30" s="23">
        <f>'Sm Comm Cust Fcst'!$D31*'Non-Residential TSM UC Adj'!L29</f>
        <v>0</v>
      </c>
      <c r="M30" s="45">
        <f>IF(SUM(J30:L30)=0,0,SUM(J30:L30)/'Sm Comm Cust Fcst'!D31)</f>
        <v>0</v>
      </c>
      <c r="N30" s="137">
        <f>'Sm Comm Cust Fcst'!$E31*'Non-Residential TSM UC Adj'!N29</f>
        <v>0</v>
      </c>
      <c r="O30" s="23">
        <f>'Sm Comm Cust Fcst'!$E31*'Non-Residential TSM UC Adj'!O29</f>
        <v>0</v>
      </c>
      <c r="P30" s="23">
        <f>'Sm Comm Cust Fcst'!$E31*'Non-Residential TSM UC Adj'!P29</f>
        <v>0</v>
      </c>
      <c r="Q30" s="45">
        <f>IF(SUM(N30:P30)=0,0,SUM(N30:P30)/'Sm Comm Cust Fcst'!E31)</f>
        <v>0</v>
      </c>
      <c r="R30" s="137">
        <f t="shared" si="2"/>
        <v>0</v>
      </c>
      <c r="S30" s="23">
        <f t="shared" si="2"/>
        <v>0</v>
      </c>
      <c r="T30" s="23">
        <f t="shared" si="2"/>
        <v>0</v>
      </c>
      <c r="U30" s="45">
        <f>IF(SUM(R30:T30)=0,0,SUM(R30:T30)/'Sm Comm Cust Fcst'!F31)</f>
        <v>0</v>
      </c>
      <c r="V30" s="137">
        <f>'Sm Comm Cust Fcst'!$G31*'Non-Residential TSM UC Adj'!R29</f>
        <v>0</v>
      </c>
      <c r="W30" s="23">
        <f>'Sm Comm Cust Fcst'!$G31*'Non-Residential TSM UC Adj'!S29</f>
        <v>0</v>
      </c>
      <c r="X30" s="23">
        <f>'Sm Comm Cust Fcst'!$G31*'Non-Residential TSM UC Adj'!T29</f>
        <v>0</v>
      </c>
      <c r="Y30" s="45">
        <f>IF(SUM(V30:X30)=0,0,SUM(V30:X30)/'Sm Comm Cust Fcst'!G31)</f>
        <v>0</v>
      </c>
      <c r="Z30" s="137">
        <f t="shared" si="3"/>
        <v>0</v>
      </c>
      <c r="AA30" s="23">
        <f t="shared" si="3"/>
        <v>0</v>
      </c>
      <c r="AB30" s="23">
        <f t="shared" si="3"/>
        <v>0</v>
      </c>
      <c r="AC30" s="45">
        <f>IF(SUM(Z30:AB30)=0,0,SUM(Z30:AB30)/'Sm Comm Cust Fcst'!H31)</f>
        <v>0</v>
      </c>
    </row>
    <row r="31" spans="1:29">
      <c r="A31" s="153" t="s">
        <v>22</v>
      </c>
      <c r="B31" s="137">
        <f>'Sm Comm Cust Fcst'!$B32*'Non-Residential TSM UC Adj'!J30</f>
        <v>0</v>
      </c>
      <c r="C31" s="23">
        <f>'Sm Comm Cust Fcst'!$B32*'Non-Residential TSM UC Adj'!K30</f>
        <v>0</v>
      </c>
      <c r="D31" s="23">
        <f>'Sm Comm Cust Fcst'!$B32*'Non-Residential TSM UC Adj'!L30</f>
        <v>0</v>
      </c>
      <c r="E31" s="45">
        <f>IF(SUM(B31:D31)=0,0,SUM(B31:D31)/'Sm Comm Cust Fcst'!B32)</f>
        <v>0</v>
      </c>
      <c r="F31" s="137">
        <f>'Sm Comm Cust Fcst'!$C32*'Non-Residential TSM UC Adj'!J30</f>
        <v>0</v>
      </c>
      <c r="G31" s="23">
        <f>'Sm Comm Cust Fcst'!$C32*'Non-Residential TSM UC Adj'!K30</f>
        <v>0</v>
      </c>
      <c r="H31" s="23">
        <f>'Sm Comm Cust Fcst'!$C32*'Non-Residential TSM UC Adj'!L30</f>
        <v>0</v>
      </c>
      <c r="I31" s="45">
        <f>IF(SUM(F31:H31)=0,0,SUM(F31:H31)/'Sm Comm Cust Fcst'!C32)</f>
        <v>0</v>
      </c>
      <c r="J31" s="137">
        <f>'Sm Comm Cust Fcst'!$D32*'Non-Residential TSM UC Adj'!J30</f>
        <v>0</v>
      </c>
      <c r="K31" s="23">
        <f>'Sm Comm Cust Fcst'!$D32*'Non-Residential TSM UC Adj'!K30</f>
        <v>0</v>
      </c>
      <c r="L31" s="23">
        <f>'Sm Comm Cust Fcst'!$D32*'Non-Residential TSM UC Adj'!L30</f>
        <v>0</v>
      </c>
      <c r="M31" s="45">
        <f>IF(SUM(J31:L31)=0,0,SUM(J31:L31)/'Sm Comm Cust Fcst'!D32)</f>
        <v>0</v>
      </c>
      <c r="N31" s="137">
        <f>'Sm Comm Cust Fcst'!$E32*'Non-Residential TSM UC Adj'!N30</f>
        <v>0</v>
      </c>
      <c r="O31" s="23">
        <f>'Sm Comm Cust Fcst'!$E32*'Non-Residential TSM UC Adj'!O30</f>
        <v>0</v>
      </c>
      <c r="P31" s="23">
        <f>'Sm Comm Cust Fcst'!$E32*'Non-Residential TSM UC Adj'!P30</f>
        <v>0</v>
      </c>
      <c r="Q31" s="45">
        <f>IF(SUM(N31:P31)=0,0,SUM(N31:P31)/'Sm Comm Cust Fcst'!E32)</f>
        <v>0</v>
      </c>
      <c r="R31" s="137">
        <f t="shared" si="2"/>
        <v>0</v>
      </c>
      <c r="S31" s="23">
        <f t="shared" si="2"/>
        <v>0</v>
      </c>
      <c r="T31" s="23">
        <f t="shared" si="2"/>
        <v>0</v>
      </c>
      <c r="U31" s="45">
        <f>IF(SUM(R31:T31)=0,0,SUM(R31:T31)/'Sm Comm Cust Fcst'!F32)</f>
        <v>0</v>
      </c>
      <c r="V31" s="137">
        <f>'Sm Comm Cust Fcst'!$G32*'Non-Residential TSM UC Adj'!R30</f>
        <v>0</v>
      </c>
      <c r="W31" s="23">
        <f>'Sm Comm Cust Fcst'!$G32*'Non-Residential TSM UC Adj'!S30</f>
        <v>0</v>
      </c>
      <c r="X31" s="23">
        <f>'Sm Comm Cust Fcst'!$G32*'Non-Residential TSM UC Adj'!T30</f>
        <v>0</v>
      </c>
      <c r="Y31" s="45">
        <f>IF(SUM(V31:X31)=0,0,SUM(V31:X31)/'Sm Comm Cust Fcst'!G32)</f>
        <v>0</v>
      </c>
      <c r="Z31" s="137">
        <f t="shared" si="3"/>
        <v>0</v>
      </c>
      <c r="AA31" s="23">
        <f t="shared" si="3"/>
        <v>0</v>
      </c>
      <c r="AB31" s="23">
        <f t="shared" si="3"/>
        <v>0</v>
      </c>
      <c r="AC31" s="45">
        <f>IF(SUM(Z31:AB31)=0,0,SUM(Z31:AB31)/'Sm Comm Cust Fcst'!H32)</f>
        <v>0</v>
      </c>
    </row>
    <row r="32" spans="1:29">
      <c r="A32" s="153" t="s">
        <v>23</v>
      </c>
      <c r="B32" s="137">
        <f>'Sm Comm Cust Fcst'!$B33*'Non-Residential TSM UC Adj'!J31</f>
        <v>0</v>
      </c>
      <c r="C32" s="23">
        <f>'Sm Comm Cust Fcst'!$B33*'Non-Residential TSM UC Adj'!K31</f>
        <v>0</v>
      </c>
      <c r="D32" s="23">
        <f>'Sm Comm Cust Fcst'!$B33*'Non-Residential TSM UC Adj'!L31</f>
        <v>0</v>
      </c>
      <c r="E32" s="45">
        <f>IF(SUM(B32:D32)=0,0,SUM(B32:D32)/'Sm Comm Cust Fcst'!B33)</f>
        <v>0</v>
      </c>
      <c r="F32" s="137">
        <f>'Sm Comm Cust Fcst'!$C33*'Non-Residential TSM UC Adj'!J31</f>
        <v>0</v>
      </c>
      <c r="G32" s="23">
        <f>'Sm Comm Cust Fcst'!$C33*'Non-Residential TSM UC Adj'!K31</f>
        <v>0</v>
      </c>
      <c r="H32" s="23">
        <f>'Sm Comm Cust Fcst'!$C33*'Non-Residential TSM UC Adj'!L31</f>
        <v>0</v>
      </c>
      <c r="I32" s="45">
        <f>IF(SUM(F32:H32)=0,0,SUM(F32:H32)/'Sm Comm Cust Fcst'!C33)</f>
        <v>0</v>
      </c>
      <c r="J32" s="137">
        <f>'Sm Comm Cust Fcst'!$D33*'Non-Residential TSM UC Adj'!J31</f>
        <v>0</v>
      </c>
      <c r="K32" s="23">
        <f>'Sm Comm Cust Fcst'!$D33*'Non-Residential TSM UC Adj'!K31</f>
        <v>0</v>
      </c>
      <c r="L32" s="23">
        <f>'Sm Comm Cust Fcst'!$D33*'Non-Residential TSM UC Adj'!L31</f>
        <v>0</v>
      </c>
      <c r="M32" s="45">
        <f>IF(SUM(J32:L32)=0,0,SUM(J32:L32)/'Sm Comm Cust Fcst'!D33)</f>
        <v>0</v>
      </c>
      <c r="N32" s="137">
        <f>'Sm Comm Cust Fcst'!$E33*'Non-Residential TSM UC Adj'!N31</f>
        <v>0</v>
      </c>
      <c r="O32" s="23">
        <f>'Sm Comm Cust Fcst'!$E33*'Non-Residential TSM UC Adj'!O31</f>
        <v>0</v>
      </c>
      <c r="P32" s="23">
        <f>'Sm Comm Cust Fcst'!$E33*'Non-Residential TSM UC Adj'!P31</f>
        <v>0</v>
      </c>
      <c r="Q32" s="45">
        <f>IF(SUM(N32:P32)=0,0,SUM(N32:P32)/'Sm Comm Cust Fcst'!E33)</f>
        <v>0</v>
      </c>
      <c r="R32" s="137">
        <f t="shared" si="2"/>
        <v>0</v>
      </c>
      <c r="S32" s="23">
        <f t="shared" si="2"/>
        <v>0</v>
      </c>
      <c r="T32" s="23">
        <f t="shared" si="2"/>
        <v>0</v>
      </c>
      <c r="U32" s="45">
        <f>IF(SUM(R32:T32)=0,0,SUM(R32:T32)/'Sm Comm Cust Fcst'!F33)</f>
        <v>0</v>
      </c>
      <c r="V32" s="137">
        <f>'Sm Comm Cust Fcst'!$G33*'Non-Residential TSM UC Adj'!R31</f>
        <v>0</v>
      </c>
      <c r="W32" s="23">
        <f>'Sm Comm Cust Fcst'!$G33*'Non-Residential TSM UC Adj'!S31</f>
        <v>0</v>
      </c>
      <c r="X32" s="23">
        <f>'Sm Comm Cust Fcst'!$G33*'Non-Residential TSM UC Adj'!T31</f>
        <v>0</v>
      </c>
      <c r="Y32" s="45">
        <f>IF(SUM(V32:X32)=0,0,SUM(V32:X32)/'Sm Comm Cust Fcst'!G33)</f>
        <v>0</v>
      </c>
      <c r="Z32" s="137">
        <f t="shared" si="3"/>
        <v>0</v>
      </c>
      <c r="AA32" s="23">
        <f t="shared" si="3"/>
        <v>0</v>
      </c>
      <c r="AB32" s="23">
        <f t="shared" si="3"/>
        <v>0</v>
      </c>
      <c r="AC32" s="45">
        <f>IF(SUM(Z32:AB32)=0,0,SUM(Z32:AB32)/'Sm Comm Cust Fcst'!H33)</f>
        <v>0</v>
      </c>
    </row>
    <row r="33" spans="1:29">
      <c r="A33" s="153" t="s">
        <v>24</v>
      </c>
      <c r="B33" s="137">
        <f>'Sm Comm Cust Fcst'!$B34*'Non-Residential TSM UC Adj'!J32</f>
        <v>0</v>
      </c>
      <c r="C33" s="23">
        <f>'Sm Comm Cust Fcst'!$B34*'Non-Residential TSM UC Adj'!K32</f>
        <v>0</v>
      </c>
      <c r="D33" s="23">
        <f>'Sm Comm Cust Fcst'!$B34*'Non-Residential TSM UC Adj'!L32</f>
        <v>0</v>
      </c>
      <c r="E33" s="45">
        <f>IF(SUM(B33:D33)=0,0,SUM(B33:D33)/'Sm Comm Cust Fcst'!B34)</f>
        <v>0</v>
      </c>
      <c r="F33" s="137">
        <f>'Sm Comm Cust Fcst'!$C34*'Non-Residential TSM UC Adj'!J32</f>
        <v>0</v>
      </c>
      <c r="G33" s="23">
        <f>'Sm Comm Cust Fcst'!$C34*'Non-Residential TSM UC Adj'!K32</f>
        <v>0</v>
      </c>
      <c r="H33" s="23">
        <f>'Sm Comm Cust Fcst'!$C34*'Non-Residential TSM UC Adj'!L32</f>
        <v>0</v>
      </c>
      <c r="I33" s="45">
        <f>IF(SUM(F33:H33)=0,0,SUM(F33:H33)/'Sm Comm Cust Fcst'!C34)</f>
        <v>0</v>
      </c>
      <c r="J33" s="137">
        <f>'Sm Comm Cust Fcst'!$D34*'Non-Residential TSM UC Adj'!J32</f>
        <v>0</v>
      </c>
      <c r="K33" s="23">
        <f>'Sm Comm Cust Fcst'!$D34*'Non-Residential TSM UC Adj'!K32</f>
        <v>0</v>
      </c>
      <c r="L33" s="23">
        <f>'Sm Comm Cust Fcst'!$D34*'Non-Residential TSM UC Adj'!L32</f>
        <v>0</v>
      </c>
      <c r="M33" s="45">
        <f>IF(SUM(J33:L33)=0,0,SUM(J33:L33)/'Sm Comm Cust Fcst'!D34)</f>
        <v>0</v>
      </c>
      <c r="N33" s="137">
        <f>'Sm Comm Cust Fcst'!$E34*'Non-Residential TSM UC Adj'!N32</f>
        <v>0</v>
      </c>
      <c r="O33" s="23">
        <f>'Sm Comm Cust Fcst'!$E34*'Non-Residential TSM UC Adj'!O32</f>
        <v>0</v>
      </c>
      <c r="P33" s="23">
        <f>'Sm Comm Cust Fcst'!$E34*'Non-Residential TSM UC Adj'!P32</f>
        <v>0</v>
      </c>
      <c r="Q33" s="45">
        <f>IF(SUM(N33:P33)=0,0,SUM(N33:P33)/'Sm Comm Cust Fcst'!E34)</f>
        <v>0</v>
      </c>
      <c r="R33" s="137">
        <f t="shared" si="2"/>
        <v>0</v>
      </c>
      <c r="S33" s="23">
        <f t="shared" si="2"/>
        <v>0</v>
      </c>
      <c r="T33" s="23">
        <f t="shared" si="2"/>
        <v>0</v>
      </c>
      <c r="U33" s="45">
        <f>IF(SUM(R33:T33)=0,0,SUM(R33:T33)/'Sm Comm Cust Fcst'!F34)</f>
        <v>0</v>
      </c>
      <c r="V33" s="137">
        <f>'Sm Comm Cust Fcst'!$G34*'Non-Residential TSM UC Adj'!R32</f>
        <v>0</v>
      </c>
      <c r="W33" s="23">
        <f>'Sm Comm Cust Fcst'!$G34*'Non-Residential TSM UC Adj'!S32</f>
        <v>0</v>
      </c>
      <c r="X33" s="23">
        <f>'Sm Comm Cust Fcst'!$G34*'Non-Residential TSM UC Adj'!T32</f>
        <v>0</v>
      </c>
      <c r="Y33" s="45">
        <f>IF(SUM(V33:X33)=0,0,SUM(V33:X33)/'Sm Comm Cust Fcst'!G34)</f>
        <v>0</v>
      </c>
      <c r="Z33" s="137">
        <f t="shared" si="3"/>
        <v>0</v>
      </c>
      <c r="AA33" s="23">
        <f t="shared" si="3"/>
        <v>0</v>
      </c>
      <c r="AB33" s="23">
        <f t="shared" si="3"/>
        <v>0</v>
      </c>
      <c r="AC33" s="45">
        <f>IF(SUM(Z33:AB33)=0,0,SUM(Z33:AB33)/'Sm Comm Cust Fcst'!H34)</f>
        <v>0</v>
      </c>
    </row>
    <row r="34" spans="1:29">
      <c r="A34" s="153" t="s">
        <v>25</v>
      </c>
      <c r="B34" s="137">
        <f>'Sm Comm Cust Fcst'!$B35*'Non-Residential TSM UC Adj'!J33</f>
        <v>0</v>
      </c>
      <c r="C34" s="23">
        <f>'Sm Comm Cust Fcst'!$B35*'Non-Residential TSM UC Adj'!K33</f>
        <v>0</v>
      </c>
      <c r="D34" s="23">
        <f>'Sm Comm Cust Fcst'!$B35*'Non-Residential TSM UC Adj'!L33</f>
        <v>0</v>
      </c>
      <c r="E34" s="45">
        <f>IF(SUM(B34:D34)=0,0,SUM(B34:D34)/'Sm Comm Cust Fcst'!B35)</f>
        <v>0</v>
      </c>
      <c r="F34" s="137">
        <f>'Sm Comm Cust Fcst'!$C35*'Non-Residential TSM UC Adj'!J33</f>
        <v>0</v>
      </c>
      <c r="G34" s="23">
        <f>'Sm Comm Cust Fcst'!$C35*'Non-Residential TSM UC Adj'!K33</f>
        <v>0</v>
      </c>
      <c r="H34" s="23">
        <f>'Sm Comm Cust Fcst'!$C35*'Non-Residential TSM UC Adj'!L33</f>
        <v>0</v>
      </c>
      <c r="I34" s="45">
        <f>IF(SUM(F34:H34)=0,0,SUM(F34:H34)/'Sm Comm Cust Fcst'!C35)</f>
        <v>0</v>
      </c>
      <c r="J34" s="137">
        <f>'Sm Comm Cust Fcst'!$D35*'Non-Residential TSM UC Adj'!J33</f>
        <v>0</v>
      </c>
      <c r="K34" s="23">
        <f>'Sm Comm Cust Fcst'!$D35*'Non-Residential TSM UC Adj'!K33</f>
        <v>0</v>
      </c>
      <c r="L34" s="23">
        <f>'Sm Comm Cust Fcst'!$D35*'Non-Residential TSM UC Adj'!L33</f>
        <v>0</v>
      </c>
      <c r="M34" s="45">
        <f>IF(SUM(J34:L34)=0,0,SUM(J34:L34)/'Sm Comm Cust Fcst'!D35)</f>
        <v>0</v>
      </c>
      <c r="N34" s="137">
        <f>'Sm Comm Cust Fcst'!$E35*'Non-Residential TSM UC Adj'!N33</f>
        <v>0</v>
      </c>
      <c r="O34" s="23">
        <f>'Sm Comm Cust Fcst'!$E35*'Non-Residential TSM UC Adj'!O33</f>
        <v>0</v>
      </c>
      <c r="P34" s="23">
        <f>'Sm Comm Cust Fcst'!$E35*'Non-Residential TSM UC Adj'!P33</f>
        <v>0</v>
      </c>
      <c r="Q34" s="45">
        <f>IF(SUM(N34:P34)=0,0,SUM(N34:P34)/'Sm Comm Cust Fcst'!E35)</f>
        <v>0</v>
      </c>
      <c r="R34" s="137">
        <f t="shared" si="2"/>
        <v>0</v>
      </c>
      <c r="S34" s="23">
        <f t="shared" si="2"/>
        <v>0</v>
      </c>
      <c r="T34" s="23">
        <f t="shared" si="2"/>
        <v>0</v>
      </c>
      <c r="U34" s="45">
        <f>IF(SUM(R34:T34)=0,0,SUM(R34:T34)/'Sm Comm Cust Fcst'!F35)</f>
        <v>0</v>
      </c>
      <c r="V34" s="137">
        <f>'Sm Comm Cust Fcst'!$G35*'Non-Residential TSM UC Adj'!R33</f>
        <v>0</v>
      </c>
      <c r="W34" s="23">
        <f>'Sm Comm Cust Fcst'!$G35*'Non-Residential TSM UC Adj'!S33</f>
        <v>0</v>
      </c>
      <c r="X34" s="23">
        <f>'Sm Comm Cust Fcst'!$G35*'Non-Residential TSM UC Adj'!T33</f>
        <v>0</v>
      </c>
      <c r="Y34" s="45">
        <f>IF(SUM(V34:X34)=0,0,SUM(V34:X34)/'Sm Comm Cust Fcst'!G35)</f>
        <v>0</v>
      </c>
      <c r="Z34" s="137">
        <f t="shared" si="3"/>
        <v>0</v>
      </c>
      <c r="AA34" s="23">
        <f t="shared" si="3"/>
        <v>0</v>
      </c>
      <c r="AB34" s="23">
        <f t="shared" si="3"/>
        <v>0</v>
      </c>
      <c r="AC34" s="45">
        <f>IF(SUM(Z34:AB34)=0,0,SUM(Z34:AB34)/'Sm Comm Cust Fcst'!H35)</f>
        <v>0</v>
      </c>
    </row>
    <row r="35" spans="1:29">
      <c r="A35" s="153" t="s">
        <v>125</v>
      </c>
      <c r="B35" s="137">
        <f>'Sm Comm Cust Fcst'!$B36*'Non-Residential TSM UC Adj'!J34</f>
        <v>0</v>
      </c>
      <c r="C35" s="23">
        <f>'Sm Comm Cust Fcst'!$B36*'Non-Residential TSM UC Adj'!K34</f>
        <v>0</v>
      </c>
      <c r="D35" s="23">
        <f>'Sm Comm Cust Fcst'!$B36*'Non-Residential TSM UC Adj'!L34</f>
        <v>0</v>
      </c>
      <c r="E35" s="45">
        <f>IF(SUM(B35:D35)=0,0,SUM(B35:D35)/'Sm Comm Cust Fcst'!B36)</f>
        <v>0</v>
      </c>
      <c r="F35" s="137">
        <f>'Sm Comm Cust Fcst'!$C36*'Non-Residential TSM UC Adj'!J34</f>
        <v>0</v>
      </c>
      <c r="G35" s="23">
        <f>'Sm Comm Cust Fcst'!$C36*'Non-Residential TSM UC Adj'!K34</f>
        <v>0</v>
      </c>
      <c r="H35" s="23">
        <f>'Sm Comm Cust Fcst'!$C36*'Non-Residential TSM UC Adj'!L34</f>
        <v>0</v>
      </c>
      <c r="I35" s="45">
        <f>IF(SUM(F35:H35)=0,0,SUM(F35:H35)/'Sm Comm Cust Fcst'!C36)</f>
        <v>0</v>
      </c>
      <c r="J35" s="137">
        <f>'Sm Comm Cust Fcst'!$D36*'Non-Residential TSM UC Adj'!J34</f>
        <v>0</v>
      </c>
      <c r="K35" s="23">
        <f>'Sm Comm Cust Fcst'!$D36*'Non-Residential TSM UC Adj'!K34</f>
        <v>0</v>
      </c>
      <c r="L35" s="23">
        <f>'Sm Comm Cust Fcst'!$D36*'Non-Residential TSM UC Adj'!L34</f>
        <v>0</v>
      </c>
      <c r="M35" s="45">
        <f>IF(SUM(J35:L35)=0,0,SUM(J35:L35)/'Sm Comm Cust Fcst'!D36)</f>
        <v>0</v>
      </c>
      <c r="N35" s="137">
        <f>'Sm Comm Cust Fcst'!$E36*'Non-Residential TSM UC Adj'!N34</f>
        <v>0</v>
      </c>
      <c r="O35" s="23">
        <f>'Sm Comm Cust Fcst'!$E36*'Non-Residential TSM UC Adj'!O34</f>
        <v>0</v>
      </c>
      <c r="P35" s="23">
        <f>'Sm Comm Cust Fcst'!$E36*'Non-Residential TSM UC Adj'!P34</f>
        <v>0</v>
      </c>
      <c r="Q35" s="45">
        <f>IF(SUM(N35:P35)=0,0,SUM(N35:P35)/'Sm Comm Cust Fcst'!E36)</f>
        <v>0</v>
      </c>
      <c r="R35" s="137">
        <f t="shared" si="2"/>
        <v>0</v>
      </c>
      <c r="S35" s="23">
        <f t="shared" si="2"/>
        <v>0</v>
      </c>
      <c r="T35" s="23">
        <f t="shared" si="2"/>
        <v>0</v>
      </c>
      <c r="U35" s="45">
        <f>IF(SUM(R35:T35)=0,0,SUM(R35:T35)/'Sm Comm Cust Fcst'!F36)</f>
        <v>0</v>
      </c>
      <c r="V35" s="137">
        <f>'Sm Comm Cust Fcst'!$G36*'Non-Residential TSM UC Adj'!R34</f>
        <v>0</v>
      </c>
      <c r="W35" s="23">
        <f>'Sm Comm Cust Fcst'!$G36*'Non-Residential TSM UC Adj'!S34</f>
        <v>7772.9285855999342</v>
      </c>
      <c r="X35" s="23">
        <f>'Sm Comm Cust Fcst'!$G36*'Non-Residential TSM UC Adj'!T34</f>
        <v>967.82163835260417</v>
      </c>
      <c r="Y35" s="45">
        <f>IF(SUM(V35:X35)=0,0,SUM(V35:X35)/'Sm Comm Cust Fcst'!G36)</f>
        <v>8740.7502239525384</v>
      </c>
      <c r="Z35" s="137">
        <f t="shared" si="3"/>
        <v>0</v>
      </c>
      <c r="AA35" s="23">
        <f t="shared" si="3"/>
        <v>7772.9285855999342</v>
      </c>
      <c r="AB35" s="23">
        <f t="shared" si="3"/>
        <v>967.82163835260417</v>
      </c>
      <c r="AC35" s="45">
        <f>IF(SUM(Z35:AB35)=0,0,SUM(Z35:AB35)/'Sm Comm Cust Fcst'!H36)</f>
        <v>8740.7502239525384</v>
      </c>
    </row>
    <row r="36" spans="1:29">
      <c r="A36" s="153" t="s">
        <v>126</v>
      </c>
      <c r="B36" s="137">
        <f>'Sm Comm Cust Fcst'!$B37*'Non-Residential TSM UC Adj'!J35</f>
        <v>0</v>
      </c>
      <c r="C36" s="23">
        <f>'Sm Comm Cust Fcst'!$B37*'Non-Residential TSM UC Adj'!K35</f>
        <v>0</v>
      </c>
      <c r="D36" s="23">
        <f>'Sm Comm Cust Fcst'!$B37*'Non-Residential TSM UC Adj'!L35</f>
        <v>0</v>
      </c>
      <c r="E36" s="45">
        <f>IF(SUM(B36:D36)=0,0,SUM(B36:D36)/'Sm Comm Cust Fcst'!B37)</f>
        <v>0</v>
      </c>
      <c r="F36" s="137">
        <f>'Sm Comm Cust Fcst'!$C37*'Non-Residential TSM UC Adj'!J35</f>
        <v>0</v>
      </c>
      <c r="G36" s="23">
        <f>'Sm Comm Cust Fcst'!$C37*'Non-Residential TSM UC Adj'!K35</f>
        <v>0</v>
      </c>
      <c r="H36" s="23">
        <f>'Sm Comm Cust Fcst'!$C37*'Non-Residential TSM UC Adj'!L35</f>
        <v>0</v>
      </c>
      <c r="I36" s="45">
        <f>IF(SUM(F36:H36)=0,0,SUM(F36:H36)/'Sm Comm Cust Fcst'!C37)</f>
        <v>0</v>
      </c>
      <c r="J36" s="137">
        <f>'Sm Comm Cust Fcst'!$D37*'Non-Residential TSM UC Adj'!J35</f>
        <v>0</v>
      </c>
      <c r="K36" s="23">
        <f>'Sm Comm Cust Fcst'!$D37*'Non-Residential TSM UC Adj'!K35</f>
        <v>0</v>
      </c>
      <c r="L36" s="23">
        <f>'Sm Comm Cust Fcst'!$D37*'Non-Residential TSM UC Adj'!L35</f>
        <v>0</v>
      </c>
      <c r="M36" s="45">
        <f>IF(SUM(J36:L36)=0,0,SUM(J36:L36)/'Sm Comm Cust Fcst'!D37)</f>
        <v>0</v>
      </c>
      <c r="N36" s="137">
        <f>'Sm Comm Cust Fcst'!$E37*'Non-Residential TSM UC Adj'!N35</f>
        <v>0</v>
      </c>
      <c r="O36" s="23">
        <f>'Sm Comm Cust Fcst'!$E37*'Non-Residential TSM UC Adj'!O35</f>
        <v>0</v>
      </c>
      <c r="P36" s="23">
        <f>'Sm Comm Cust Fcst'!$E37*'Non-Residential TSM UC Adj'!P35</f>
        <v>0</v>
      </c>
      <c r="Q36" s="45">
        <f>IF(SUM(N36:P36)=0,0,SUM(N36:P36)/'Sm Comm Cust Fcst'!E37)</f>
        <v>0</v>
      </c>
      <c r="R36" s="137">
        <f t="shared" si="2"/>
        <v>0</v>
      </c>
      <c r="S36" s="23">
        <f t="shared" si="2"/>
        <v>0</v>
      </c>
      <c r="T36" s="23">
        <f t="shared" si="2"/>
        <v>0</v>
      </c>
      <c r="U36" s="45">
        <f>IF(SUM(R36:T36)=0,0,SUM(R36:T36)/'Sm Comm Cust Fcst'!F37)</f>
        <v>0</v>
      </c>
      <c r="V36" s="137">
        <f>'Sm Comm Cust Fcst'!$G37*'Non-Residential TSM UC Adj'!R35</f>
        <v>0</v>
      </c>
      <c r="W36" s="23">
        <f>'Sm Comm Cust Fcst'!$G37*'Non-Residential TSM UC Adj'!S35</f>
        <v>0</v>
      </c>
      <c r="X36" s="23">
        <f>'Sm Comm Cust Fcst'!$G37*'Non-Residential TSM UC Adj'!T35</f>
        <v>0</v>
      </c>
      <c r="Y36" s="45">
        <f>IF(SUM(V36:X36)=0,0,SUM(V36:X36)/'Sm Comm Cust Fcst'!G37)</f>
        <v>0</v>
      </c>
      <c r="Z36" s="137">
        <f t="shared" si="3"/>
        <v>0</v>
      </c>
      <c r="AA36" s="23">
        <f t="shared" si="3"/>
        <v>0</v>
      </c>
      <c r="AB36" s="23">
        <f t="shared" si="3"/>
        <v>0</v>
      </c>
      <c r="AC36" s="45">
        <f>IF(SUM(Z36:AB36)=0,0,SUM(Z36:AB36)/'Sm Comm Cust Fcst'!H37)</f>
        <v>0</v>
      </c>
    </row>
    <row r="37" spans="1:29">
      <c r="A37" s="153" t="s">
        <v>26</v>
      </c>
      <c r="B37" s="137">
        <f>'Sm Comm Cust Fcst'!$B38*'Non-Residential TSM UC Adj'!J36</f>
        <v>0</v>
      </c>
      <c r="C37" s="23">
        <f>'Sm Comm Cust Fcst'!$B38*'Non-Residential TSM UC Adj'!K36</f>
        <v>0</v>
      </c>
      <c r="D37" s="23">
        <f>'Sm Comm Cust Fcst'!$B38*'Non-Residential TSM UC Adj'!L36</f>
        <v>0</v>
      </c>
      <c r="E37" s="45">
        <f>IF(SUM(B37:D37)=0,0,SUM(B37:D37)/'Sm Comm Cust Fcst'!B38)</f>
        <v>0</v>
      </c>
      <c r="F37" s="137">
        <f>'Sm Comm Cust Fcst'!$C38*'Non-Residential TSM UC Adj'!J36</f>
        <v>0</v>
      </c>
      <c r="G37" s="23">
        <f>'Sm Comm Cust Fcst'!$C38*'Non-Residential TSM UC Adj'!K36</f>
        <v>0</v>
      </c>
      <c r="H37" s="23">
        <f>'Sm Comm Cust Fcst'!$C38*'Non-Residential TSM UC Adj'!L36</f>
        <v>0</v>
      </c>
      <c r="I37" s="45">
        <f>IF(SUM(F37:H37)=0,0,SUM(F37:H37)/'Sm Comm Cust Fcst'!C38)</f>
        <v>0</v>
      </c>
      <c r="J37" s="137">
        <f>'Sm Comm Cust Fcst'!$D38*'Non-Residential TSM UC Adj'!J36</f>
        <v>0</v>
      </c>
      <c r="K37" s="23">
        <f>'Sm Comm Cust Fcst'!$D38*'Non-Residential TSM UC Adj'!K36</f>
        <v>0</v>
      </c>
      <c r="L37" s="23">
        <f>'Sm Comm Cust Fcst'!$D38*'Non-Residential TSM UC Adj'!L36</f>
        <v>0</v>
      </c>
      <c r="M37" s="45">
        <f>IF(SUM(J37:L37)=0,0,SUM(J37:L37)/'Sm Comm Cust Fcst'!D38)</f>
        <v>0</v>
      </c>
      <c r="N37" s="137">
        <f>'Sm Comm Cust Fcst'!$E38*'Non-Residential TSM UC Adj'!N36</f>
        <v>0</v>
      </c>
      <c r="O37" s="23">
        <f>'Sm Comm Cust Fcst'!$E38*'Non-Residential TSM UC Adj'!O36</f>
        <v>0</v>
      </c>
      <c r="P37" s="23">
        <f>'Sm Comm Cust Fcst'!$E38*'Non-Residential TSM UC Adj'!P36</f>
        <v>0</v>
      </c>
      <c r="Q37" s="45">
        <f>IF(SUM(N37:P37)=0,0,SUM(N37:P37)/'Sm Comm Cust Fcst'!E38)</f>
        <v>0</v>
      </c>
      <c r="R37" s="137">
        <f t="shared" si="2"/>
        <v>0</v>
      </c>
      <c r="S37" s="23">
        <f t="shared" si="2"/>
        <v>0</v>
      </c>
      <c r="T37" s="23">
        <f t="shared" si="2"/>
        <v>0</v>
      </c>
      <c r="U37" s="45">
        <f>IF(SUM(R37:T37)=0,0,SUM(R37:T37)/'Sm Comm Cust Fcst'!F38)</f>
        <v>0</v>
      </c>
      <c r="V37" s="137">
        <f>'Sm Comm Cust Fcst'!$G38*'Non-Residential TSM UC Adj'!R36</f>
        <v>0</v>
      </c>
      <c r="W37" s="23">
        <f>'Sm Comm Cust Fcst'!$G38*'Non-Residential TSM UC Adj'!S36</f>
        <v>0</v>
      </c>
      <c r="X37" s="23">
        <f>'Sm Comm Cust Fcst'!$G38*'Non-Residential TSM UC Adj'!T36</f>
        <v>0</v>
      </c>
      <c r="Y37" s="45">
        <f>IF(SUM(V37:X37)=0,0,SUM(V37:X37)/'Sm Comm Cust Fcst'!G38)</f>
        <v>0</v>
      </c>
      <c r="Z37" s="137">
        <f t="shared" si="3"/>
        <v>0</v>
      </c>
      <c r="AA37" s="23">
        <f t="shared" si="3"/>
        <v>0</v>
      </c>
      <c r="AB37" s="23">
        <f t="shared" si="3"/>
        <v>0</v>
      </c>
      <c r="AC37" s="45">
        <f>IF(SUM(Z37:AB37)=0,0,SUM(Z37:AB37)/'Sm Comm Cust Fcst'!H38)</f>
        <v>0</v>
      </c>
    </row>
    <row r="38" spans="1:29">
      <c r="A38" s="153" t="s">
        <v>27</v>
      </c>
      <c r="B38" s="137">
        <f>'Sm Comm Cust Fcst'!$B39*'Non-Residential TSM UC Adj'!J37</f>
        <v>0</v>
      </c>
      <c r="C38" s="23">
        <f>'Sm Comm Cust Fcst'!$B39*'Non-Residential TSM UC Adj'!K37</f>
        <v>0</v>
      </c>
      <c r="D38" s="23">
        <f>'Sm Comm Cust Fcst'!$B39*'Non-Residential TSM UC Adj'!L37</f>
        <v>0</v>
      </c>
      <c r="E38" s="45">
        <f>IF(SUM(B38:D38)=0,0,SUM(B38:D38)/'Sm Comm Cust Fcst'!B39)</f>
        <v>0</v>
      </c>
      <c r="F38" s="137">
        <f>'Sm Comm Cust Fcst'!$C39*'Non-Residential TSM UC Adj'!J37</f>
        <v>0</v>
      </c>
      <c r="G38" s="23">
        <f>'Sm Comm Cust Fcst'!$C39*'Non-Residential TSM UC Adj'!K37</f>
        <v>0</v>
      </c>
      <c r="H38" s="23">
        <f>'Sm Comm Cust Fcst'!$C39*'Non-Residential TSM UC Adj'!L37</f>
        <v>0</v>
      </c>
      <c r="I38" s="45">
        <f>IF(SUM(F38:H38)=0,0,SUM(F38:H38)/'Sm Comm Cust Fcst'!C39)</f>
        <v>0</v>
      </c>
      <c r="J38" s="137">
        <f>'Sm Comm Cust Fcst'!$D39*'Non-Residential TSM UC Adj'!J37</f>
        <v>0</v>
      </c>
      <c r="K38" s="23">
        <f>'Sm Comm Cust Fcst'!$D39*'Non-Residential TSM UC Adj'!K37</f>
        <v>0</v>
      </c>
      <c r="L38" s="23">
        <f>'Sm Comm Cust Fcst'!$D39*'Non-Residential TSM UC Adj'!L37</f>
        <v>0</v>
      </c>
      <c r="M38" s="45">
        <f>IF(SUM(J38:L38)=0,0,SUM(J38:L38)/'Sm Comm Cust Fcst'!D39)</f>
        <v>0</v>
      </c>
      <c r="N38" s="137">
        <f>'Sm Comm Cust Fcst'!$E39*'Non-Residential TSM UC Adj'!N37</f>
        <v>0</v>
      </c>
      <c r="O38" s="23">
        <f>'Sm Comm Cust Fcst'!$E39*'Non-Residential TSM UC Adj'!O37</f>
        <v>0</v>
      </c>
      <c r="P38" s="23">
        <f>'Sm Comm Cust Fcst'!$E39*'Non-Residential TSM UC Adj'!P37</f>
        <v>0</v>
      </c>
      <c r="Q38" s="45">
        <f>IF(SUM(N38:P38)=0,0,SUM(N38:P38)/'Sm Comm Cust Fcst'!E39)</f>
        <v>0</v>
      </c>
      <c r="R38" s="137">
        <f t="shared" si="2"/>
        <v>0</v>
      </c>
      <c r="S38" s="23">
        <f t="shared" si="2"/>
        <v>0</v>
      </c>
      <c r="T38" s="23">
        <f t="shared" si="2"/>
        <v>0</v>
      </c>
      <c r="U38" s="45">
        <f>IF(SUM(R38:T38)=0,0,SUM(R38:T38)/'Sm Comm Cust Fcst'!F39)</f>
        <v>0</v>
      </c>
      <c r="V38" s="137">
        <f>'Sm Comm Cust Fcst'!$G39*'Non-Residential TSM UC Adj'!R37</f>
        <v>0</v>
      </c>
      <c r="W38" s="23">
        <f>'Sm Comm Cust Fcst'!$G39*'Non-Residential TSM UC Adj'!S37</f>
        <v>0</v>
      </c>
      <c r="X38" s="23">
        <f>'Sm Comm Cust Fcst'!$G39*'Non-Residential TSM UC Adj'!T37</f>
        <v>0</v>
      </c>
      <c r="Y38" s="45">
        <f>IF(SUM(V38:X38)=0,0,SUM(V38:X38)/'Sm Comm Cust Fcst'!G39)</f>
        <v>0</v>
      </c>
      <c r="Z38" s="137">
        <f t="shared" si="3"/>
        <v>0</v>
      </c>
      <c r="AA38" s="23">
        <f t="shared" si="3"/>
        <v>0</v>
      </c>
      <c r="AB38" s="23">
        <f t="shared" si="3"/>
        <v>0</v>
      </c>
      <c r="AC38" s="45">
        <f>IF(SUM(Z38:AB38)=0,0,SUM(Z38:AB38)/'Sm Comm Cust Fcst'!H39)</f>
        <v>0</v>
      </c>
    </row>
    <row r="39" spans="1:29" ht="13.5" thickBot="1">
      <c r="A39" s="156"/>
      <c r="B39" s="137"/>
      <c r="C39" s="23"/>
      <c r="D39" s="23"/>
      <c r="E39" s="45"/>
      <c r="F39" s="137"/>
      <c r="G39" s="23"/>
      <c r="H39" s="23"/>
      <c r="I39" s="45"/>
      <c r="J39" s="137"/>
      <c r="K39" s="23"/>
      <c r="L39" s="23"/>
      <c r="M39" s="45"/>
      <c r="N39" s="137"/>
      <c r="O39" s="23"/>
      <c r="P39" s="23"/>
      <c r="Q39" s="45"/>
      <c r="R39" s="244"/>
      <c r="S39" s="240"/>
      <c r="T39" s="240"/>
      <c r="U39" s="249"/>
      <c r="V39" s="137"/>
      <c r="W39" s="23"/>
      <c r="X39" s="23"/>
      <c r="Y39" s="45"/>
      <c r="Z39" s="137"/>
      <c r="AA39" s="23"/>
      <c r="AB39" s="23"/>
      <c r="AC39" s="45"/>
    </row>
    <row r="40" spans="1:29" ht="13.5" thickBot="1">
      <c r="A40" s="245" t="s">
        <v>2</v>
      </c>
      <c r="B40" s="503">
        <f>IF(SUM(B7:B38)=0,0,SUM(B7:B38)/'Sm Comm Cust Fcst'!$B41)</f>
        <v>777.58145173203343</v>
      </c>
      <c r="C40" s="506">
        <f>IF(SUM(C7:C38)=0,0,SUM(C7:C38)/'Sm Comm Cust Fcst'!$B41)</f>
        <v>129.58621976397356</v>
      </c>
      <c r="D40" s="506">
        <f>IF(SUM(D7:D38)=0,0,SUM(D7:D38)/'Sm Comm Cust Fcst'!$B41)</f>
        <v>234.29973156037585</v>
      </c>
      <c r="E40" s="508">
        <f>SUM(B40:D40)</f>
        <v>1141.4674030563829</v>
      </c>
      <c r="F40" s="504">
        <f>IF(SUM(F7:F38)=0,0,SUM(F7:F38)/'Sm Comm Cust Fcst'!$C41)</f>
        <v>3140.9668142556266</v>
      </c>
      <c r="G40" s="507">
        <f>IF(SUM(G7:G38)=0,0,SUM(G7:G38)/'Sm Comm Cust Fcst'!$C41)</f>
        <v>697.77161719723779</v>
      </c>
      <c r="H40" s="507">
        <f>IF(SUM(H7:H38)=0,0,SUM(H7:H38)/'Sm Comm Cust Fcst'!$C41)</f>
        <v>301.9381659421245</v>
      </c>
      <c r="I40" s="509">
        <f>SUM(F40:H40)</f>
        <v>4140.6765973949887</v>
      </c>
      <c r="J40" s="504">
        <f>IF(SUM(J7:J38)=0,0,SUM(J7:J38)/'Sm Comm Cust Fcst'!$D41)</f>
        <v>2714.6808679016476</v>
      </c>
      <c r="K40" s="507">
        <f>IF(SUM(K7:K38)=0,0,SUM(K7:K38)/'Sm Comm Cust Fcst'!$D41)</f>
        <v>683.83143276336239</v>
      </c>
      <c r="L40" s="507">
        <f>IF(SUM(L7:L38)=0,0,SUM(L7:L38)/'Sm Comm Cust Fcst'!$D41)</f>
        <v>302.05622754783445</v>
      </c>
      <c r="M40" s="509">
        <f>SUM(J40:L40)</f>
        <v>3700.5685282128447</v>
      </c>
      <c r="N40" s="504">
        <f>IF(SUM(N7:N38)=0,0,SUM(N7:N38)/'Sm Comm Cust Fcst'!$E41)</f>
        <v>3870.9814327285985</v>
      </c>
      <c r="O40" s="507">
        <f>IF(SUM(O7:O38)=0,0,SUM(O7:O38)/'Sm Comm Cust Fcst'!$E41)</f>
        <v>747.94918111424965</v>
      </c>
      <c r="P40" s="507">
        <f>IF(SUM(P7:P38)=0,0,SUM(P7:P38)/'Sm Comm Cust Fcst'!$E41)</f>
        <v>310.76023097689523</v>
      </c>
      <c r="Q40" s="509">
        <f>SUM(N40:P40)</f>
        <v>4929.6908448197437</v>
      </c>
      <c r="R40" s="504">
        <f>IF(SUM(R7:R38)=0,0,SUM(R7:R38)/'Sm Comm Cust Fcst'!$F41)</f>
        <v>1996.5716117165152</v>
      </c>
      <c r="S40" s="507">
        <f>IF(SUM(S7:S38)=0,0,SUM(S7:S38)/'Sm Comm Cust Fcst'!$F41)</f>
        <v>455.61366211139114</v>
      </c>
      <c r="T40" s="507">
        <f>IF(SUM(T7:T38)=0,0,SUM(T7:T38)/'Sm Comm Cust Fcst'!$F41)</f>
        <v>274.11793751413398</v>
      </c>
      <c r="U40" s="509">
        <f>SUM(R40:T40)</f>
        <v>2726.3032113420404</v>
      </c>
      <c r="V40" s="504">
        <f>IF(SUM(V7:V38)=0,0,SUM(V7:V38)/'Sm Comm Cust Fcst'!$G41)</f>
        <v>0</v>
      </c>
      <c r="W40" s="507">
        <f>IF(SUM(W7:W38)=0,0,SUM(W7:W38)/'Sm Comm Cust Fcst'!$G41)</f>
        <v>3362.0773765751051</v>
      </c>
      <c r="X40" s="507">
        <f>IF(SUM(X7:X38)=0,0,SUM(X7:X38)/'Sm Comm Cust Fcst'!$G41)</f>
        <v>875.89042909760519</v>
      </c>
      <c r="Y40" s="509">
        <f>SUM(V40:X40)</f>
        <v>4237.9678056727098</v>
      </c>
      <c r="Z40" s="504">
        <f>IF(SUM(Z7:Z38)=0,0,SUM(Z7:Z38)/'Sm Comm Cust Fcst'!$H41)</f>
        <v>1996.2514841492186</v>
      </c>
      <c r="AA40" s="507">
        <f>IF(SUM(AA7:AA38)=0,0,SUM(AA7:AA38)/'Sm Comm Cust Fcst'!$H41)</f>
        <v>456.07968053661938</v>
      </c>
      <c r="AB40" s="507">
        <f>IF(SUM(AB7:AB38)=0,0,SUM(AB7:AB38)/'Sm Comm Cust Fcst'!$H41)</f>
        <v>274.21442489413397</v>
      </c>
      <c r="AC40" s="509">
        <f>SUM(Z40:AB40)</f>
        <v>2726.5455895799719</v>
      </c>
    </row>
    <row r="41" spans="1:29">
      <c r="A41" s="299" t="s">
        <v>103</v>
      </c>
      <c r="B41" s="504">
        <f>IF(SUM(B7:B8)=0,0,SUM(B7:B8)/'Sm Comm Cust Fcst'!$B42)</f>
        <v>441.83524626908167</v>
      </c>
      <c r="C41" s="507">
        <f>IF(SUM(C7:C8)=0,0,SUM(C7:C8)/'Sm Comm Cust Fcst'!$B42)</f>
        <v>112.16712195266037</v>
      </c>
      <c r="D41" s="507">
        <f>IF(SUM(D7:D8)=0,0,SUM(D7:D8)/'Sm Comm Cust Fcst'!$B42)</f>
        <v>234.29973156037588</v>
      </c>
      <c r="E41" s="509">
        <f>SUM(B41:D41)</f>
        <v>788.30209978211792</v>
      </c>
      <c r="F41" s="504">
        <f>IF(SUM(F7:F8)=0,0,SUM(F7:F8)/'Sm Comm Cust Fcst'!$C42)</f>
        <v>647.70826087175612</v>
      </c>
      <c r="G41" s="507">
        <f>IF(SUM(G7:G8)=0,0,SUM(G7:G8)/'Sm Comm Cust Fcst'!$C42)</f>
        <v>609.82032510065369</v>
      </c>
      <c r="H41" s="507">
        <f>IF(SUM(H7:H8)=0,0,SUM(H7:H8)/'Sm Comm Cust Fcst'!$C42)</f>
        <v>301.76349896014176</v>
      </c>
      <c r="I41" s="509">
        <f>SUM(F41:H41)</f>
        <v>1559.2920849325517</v>
      </c>
      <c r="J41" s="504">
        <f>IF(SUM(J7:J8)=0,0,SUM(J7:J8)/'Sm Comm Cust Fcst'!$D42)</f>
        <v>712.44282190687568</v>
      </c>
      <c r="K41" s="507">
        <f>IF(SUM(K7:K8)=0,0,SUM(K7:K8)/'Sm Comm Cust Fcst'!$D42)</f>
        <v>609.82032510065369</v>
      </c>
      <c r="L41" s="507">
        <f>IF(SUM(L7:L8)=0,0,SUM(L7:L8)/'Sm Comm Cust Fcst'!$D42)</f>
        <v>301.76349896014176</v>
      </c>
      <c r="M41" s="509">
        <f>SUM(J41:L41)</f>
        <v>1624.0266459676711</v>
      </c>
      <c r="N41" s="504">
        <f>IF(SUM(N7:N8)=0,0,SUM(N7:N8)/'Sm Comm Cust Fcst'!$E42)</f>
        <v>747.68859637793162</v>
      </c>
      <c r="O41" s="507">
        <f>IF(SUM(O7:O8)=0,0,SUM(O7:O8)/'Sm Comm Cust Fcst'!$E42)</f>
        <v>609.82032510065369</v>
      </c>
      <c r="P41" s="507">
        <f>IF(SUM(P7:P8)=0,0,SUM(P7:P8)/'Sm Comm Cust Fcst'!$E42)</f>
        <v>301.76349896014176</v>
      </c>
      <c r="Q41" s="509">
        <f>SUM(N41:P41)</f>
        <v>1659.2724204387271</v>
      </c>
      <c r="R41" s="504">
        <f>IF(SUM(R7:R8)=0,0,SUM(R7:R8)/'Sm Comm Cust Fcst'!$F42)</f>
        <v>543.88449179423048</v>
      </c>
      <c r="S41" s="507">
        <f>IF(SUM(S7:S8)=0,0,SUM(S7:S8)/'Sm Comm Cust Fcst'!$F42)</f>
        <v>301.59303625533897</v>
      </c>
      <c r="T41" s="507">
        <f>IF(SUM(T7:T8)=0,0,SUM(T7:T8)/'Sm Comm Cust Fcst'!$F42)</f>
        <v>259.97903140445527</v>
      </c>
      <c r="U41" s="509">
        <f>SUM(R41:T41)</f>
        <v>1105.4565594540247</v>
      </c>
      <c r="V41" s="504">
        <f>IF(SUM(V7:V8)=0,0,SUM(V7:V8)/'Sm Comm Cust Fcst'!$G42)</f>
        <v>0</v>
      </c>
      <c r="W41" s="507">
        <f>IF(SUM(W7:W8)=0,0,SUM(W7:W8)/'Sm Comm Cust Fcst'!$G42)</f>
        <v>3129.9273129422195</v>
      </c>
      <c r="X41" s="507">
        <f>IF(SUM(X7:X8)=0,0,SUM(X7:X8)/'Sm Comm Cust Fcst'!$G42)</f>
        <v>865.67585029149416</v>
      </c>
      <c r="Y41" s="509">
        <f>SUM(V41:X41)</f>
        <v>3995.6031632337135</v>
      </c>
      <c r="Z41" s="504">
        <f>IF(SUM(Z7:Z8)=0,0,SUM(Z7:Z8)/'Sm Comm Cust Fcst'!$H42)</f>
        <v>543.81988208981204</v>
      </c>
      <c r="AA41" s="507">
        <f>IF(SUM(AA7:AA8)=0,0,SUM(AA7:AA8)/'Sm Comm Cust Fcst'!$H42)</f>
        <v>301.92902274579831</v>
      </c>
      <c r="AB41" s="507">
        <f>IF(SUM(AB7:AB8)=0,0,SUM(AB7:AB8)/'Sm Comm Cust Fcst'!$H42)</f>
        <v>260.05098398450843</v>
      </c>
      <c r="AC41" s="509">
        <f>SUM(Z41:AB41)</f>
        <v>1105.7998888201187</v>
      </c>
    </row>
    <row r="42" spans="1:29">
      <c r="A42" s="153" t="s">
        <v>128</v>
      </c>
      <c r="B42" s="380">
        <f>IF(SUM(B9:B11)=0,0,SUM(B9:B11)/'Sm Comm Cust Fcst'!$B43)</f>
        <v>1137.0975778086288</v>
      </c>
      <c r="C42" s="109">
        <f>IF(SUM(C9:C11)=0,0,SUM(C9:C11)/'Sm Comm Cust Fcst'!$B43)</f>
        <v>146.57859112071716</v>
      </c>
      <c r="D42" s="109">
        <f>IF(SUM(D9:D11)=0,0,SUM(D9:D11)/'Sm Comm Cust Fcst'!$B43)</f>
        <v>234.2997315603759</v>
      </c>
      <c r="E42" s="381">
        <f>SUM(B42:D42)</f>
        <v>1517.9759004897219</v>
      </c>
      <c r="F42" s="380">
        <f>IF(SUM(F9:F11)=0,0,SUM(F9:F11)/'Sm Comm Cust Fcst'!$C43)</f>
        <v>2753.687756935386</v>
      </c>
      <c r="G42" s="109">
        <f>IF(SUM(G9:G11)=0,0,SUM(G9:G11)/'Sm Comm Cust Fcst'!$C43)</f>
        <v>697.12009268633437</v>
      </c>
      <c r="H42" s="109">
        <f>IF(SUM(H9:H11)=0,0,SUM(H9:H11)/'Sm Comm Cust Fcst'!$C43)</f>
        <v>301.7634989601417</v>
      </c>
      <c r="I42" s="381">
        <f>SUM(F42:H42)</f>
        <v>3752.5713485818619</v>
      </c>
      <c r="J42" s="380">
        <f>IF(SUM(J9:J11)=0,0,SUM(J9:J11)/'Sm Comm Cust Fcst'!$D43)</f>
        <v>2635.9927519411071</v>
      </c>
      <c r="K42" s="109">
        <f>IF(SUM(K9:K11)=0,0,SUM(K9:K11)/'Sm Comm Cust Fcst'!$D43)</f>
        <v>691.3489843206786</v>
      </c>
      <c r="L42" s="109">
        <f>IF(SUM(L9:L11)=0,0,SUM(L9:L11)/'Sm Comm Cust Fcst'!$D43)</f>
        <v>301.76349896014176</v>
      </c>
      <c r="M42" s="381">
        <f>SUM(J42:L42)</f>
        <v>3629.1052352219276</v>
      </c>
      <c r="N42" s="380">
        <f>IF(SUM(N9:N11)=0,0,SUM(N9:N11)/'Sm Comm Cust Fcst'!$E43)</f>
        <v>3652.8310391164191</v>
      </c>
      <c r="O42" s="109">
        <f>IF(SUM(O9:O11)=0,0,SUM(O9:O11)/'Sm Comm Cust Fcst'!$E43)</f>
        <v>701.93489855183009</v>
      </c>
      <c r="P42" s="109">
        <f>IF(SUM(P9:P11)=0,0,SUM(P9:P11)/'Sm Comm Cust Fcst'!$E43)</f>
        <v>301.76349896014176</v>
      </c>
      <c r="Q42" s="381">
        <f>SUM(N42:P42)</f>
        <v>4656.5294366283915</v>
      </c>
      <c r="R42" s="380">
        <f>IF(SUM(R9:R11)=0,0,SUM(R9:R11)/'Sm Comm Cust Fcst'!$F43)</f>
        <v>2256.6290689688572</v>
      </c>
      <c r="S42" s="109">
        <f>IF(SUM(S9:S11)=0,0,SUM(S9:S11)/'Sm Comm Cust Fcst'!$F43)</f>
        <v>526.53802279500019</v>
      </c>
      <c r="T42" s="109">
        <f>IF(SUM(T9:T11)=0,0,SUM(T9:T11)/'Sm Comm Cust Fcst'!$F43)</f>
        <v>281.21957976565909</v>
      </c>
      <c r="U42" s="381">
        <f>SUM(R42:T42)</f>
        <v>3064.3866715295167</v>
      </c>
      <c r="V42" s="380">
        <f>IF(SUM(V9:V11)=0,0,SUM(V9:V11)/'Sm Comm Cust Fcst'!$G43)</f>
        <v>0</v>
      </c>
      <c r="W42" s="109">
        <f>IF(SUM(W9:W11)=0,0,SUM(W9:W11)/'Sm Comm Cust Fcst'!$G43)</f>
        <v>3129.9273129422195</v>
      </c>
      <c r="X42" s="109">
        <f>IF(SUM(X9:X11)=0,0,SUM(X9:X11)/'Sm Comm Cust Fcst'!$G43)</f>
        <v>865.67585029149416</v>
      </c>
      <c r="Y42" s="381">
        <f>SUM(V42:X42)</f>
        <v>3995.6031632337135</v>
      </c>
      <c r="Z42" s="380">
        <f>IF(SUM(Z9:Z11)=0,0,SUM(Z9:Z11)/'Sm Comm Cust Fcst'!$H43)</f>
        <v>2256.3164876036844</v>
      </c>
      <c r="AA42" s="109">
        <f>IF(SUM(AA9:AA11)=0,0,SUM(AA9:AA11)/'Sm Comm Cust Fcst'!$H43)</f>
        <v>526.89863632674087</v>
      </c>
      <c r="AB42" s="109">
        <f>IF(SUM(AB9:AB11)=0,0,SUM(AB9:AB11)/'Sm Comm Cust Fcst'!$H43)</f>
        <v>281.30053686287846</v>
      </c>
      <c r="AC42" s="381">
        <f>SUM(Z42:AB42)</f>
        <v>3064.5156607933036</v>
      </c>
    </row>
    <row r="43" spans="1:29">
      <c r="A43" s="153" t="s">
        <v>129</v>
      </c>
      <c r="B43" s="380">
        <f>IF(SUM(B12:B13)=0,0,SUM(B12:B13)/'Sm Comm Cust Fcst'!$B44)</f>
        <v>3187.9000939835487</v>
      </c>
      <c r="C43" s="109">
        <f>IF(SUM(C12:C13)=0,0,SUM(C12:C13)/'Sm Comm Cust Fcst'!$B44)</f>
        <v>270.5812046043028</v>
      </c>
      <c r="D43" s="109">
        <f>IF(SUM(D12:D13)=0,0,SUM(D12:D13)/'Sm Comm Cust Fcst'!$B44)</f>
        <v>234.29973156037588</v>
      </c>
      <c r="E43" s="381">
        <f>SUM(B43:D43)</f>
        <v>3692.7810301482273</v>
      </c>
      <c r="F43" s="380">
        <f>IF(SUM(F12:F13)=0,0,SUM(F12:F13)/'Sm Comm Cust Fcst'!$C44)</f>
        <v>9285.5642676809512</v>
      </c>
      <c r="G43" s="109">
        <f>IF(SUM(G12:G13)=0,0,SUM(G12:G13)/'Sm Comm Cust Fcst'!$C44)</f>
        <v>823.85329963047786</v>
      </c>
      <c r="H43" s="109">
        <f>IF(SUM(H12:H13)=0,0,SUM(H12:H13)/'Sm Comm Cust Fcst'!$C44)</f>
        <v>301.76349896014176</v>
      </c>
      <c r="I43" s="381">
        <f>SUM(F43:H43)</f>
        <v>10411.181066271571</v>
      </c>
      <c r="J43" s="380">
        <f>IF(SUM(J12:J13)=0,0,SUM(J12:J13)/'Sm Comm Cust Fcst'!$D44)</f>
        <v>9469.6903267549806</v>
      </c>
      <c r="K43" s="109">
        <f>IF(SUM(K12:K13)=0,0,SUM(K12:K13)/'Sm Comm Cust Fcst'!$D44)</f>
        <v>817.41369606799469</v>
      </c>
      <c r="L43" s="109">
        <f>IF(SUM(L12:L13)=0,0,SUM(L12:L13)/'Sm Comm Cust Fcst'!$D44)</f>
        <v>301.76349896014176</v>
      </c>
      <c r="M43" s="381">
        <f>SUM(J43:L43)</f>
        <v>10588.867521783117</v>
      </c>
      <c r="N43" s="380">
        <f>IF(SUM(N12:N13)=0,0,SUM(N12:N13)/'Sm Comm Cust Fcst'!$E44)</f>
        <v>5836.7948491438538</v>
      </c>
      <c r="O43" s="109">
        <f>IF(SUM(O12:O13)=0,0,SUM(O12:O13)/'Sm Comm Cust Fcst'!$E44)</f>
        <v>852.42713947238883</v>
      </c>
      <c r="P43" s="109">
        <f>IF(SUM(P12:P13)=0,0,SUM(P12:P13)/'Sm Comm Cust Fcst'!$E44)</f>
        <v>301.76349896014176</v>
      </c>
      <c r="Q43" s="381">
        <f>SUM(N43:P43)</f>
        <v>6990.9854875763849</v>
      </c>
      <c r="R43" s="380">
        <f>IF(SUM(R12:R13)=0,0,SUM(R12:R13)/'Sm Comm Cust Fcst'!$F44)</f>
        <v>7775.7238370865125</v>
      </c>
      <c r="S43" s="109">
        <f>IF(SUM(S12:S13)=0,0,SUM(S12:S13)/'Sm Comm Cust Fcst'!$F44)</f>
        <v>737.60415175586695</v>
      </c>
      <c r="T43" s="109">
        <f>IF(SUM(T12:T13)=0,0,SUM(T12:T13)/'Sm Comm Cust Fcst'!$F44)</f>
        <v>291.03531576507197</v>
      </c>
      <c r="U43" s="381">
        <f>SUM(R43:T43)</f>
        <v>8804.3633046074501</v>
      </c>
      <c r="V43" s="380">
        <f>IF(SUM(V12:V13)=0,0,SUM(V12:V13)/'Sm Comm Cust Fcst'!$G44)</f>
        <v>0</v>
      </c>
      <c r="W43" s="109">
        <f>IF(SUM(W12:W13)=0,0,SUM(W12:W13)/'Sm Comm Cust Fcst'!$G44)</f>
        <v>3129.9273129422195</v>
      </c>
      <c r="X43" s="109">
        <f>IF(SUM(X12:X13)=0,0,SUM(X12:X13)/'Sm Comm Cust Fcst'!$G44)</f>
        <v>865.67585029149416</v>
      </c>
      <c r="Y43" s="381">
        <f>SUM(V43:X43)</f>
        <v>3995.6031632337135</v>
      </c>
      <c r="Z43" s="380">
        <f>IF(SUM(Z12:Z13)=0,0,SUM(Z12:Z13)/'Sm Comm Cust Fcst'!$H44)</f>
        <v>7773.8951155820232</v>
      </c>
      <c r="AA43" s="109">
        <f>IF(SUM(AA12:AA13)=0,0,SUM(AA12:AA13)/'Sm Comm Cust Fcst'!$H44)</f>
        <v>738.16678655388819</v>
      </c>
      <c r="AB43" s="109">
        <f>IF(SUM(AB12:AB13)=0,0,SUM(AB12:AB13)/'Sm Comm Cust Fcst'!$H44)</f>
        <v>291.1704617045184</v>
      </c>
      <c r="AC43" s="381">
        <f>SUM(Z43:AB43)</f>
        <v>8803.2323638404287</v>
      </c>
    </row>
    <row r="44" spans="1:29" ht="13.5" thickBot="1">
      <c r="A44" s="243" t="s">
        <v>130</v>
      </c>
      <c r="B44" s="505">
        <f>IF(SUM(B14:B38)=0,0,SUM(B14:B38)/'Sm Comm Cust Fcst'!$B45)</f>
        <v>5135.8225910097708</v>
      </c>
      <c r="C44" s="414">
        <f>IF(SUM(C14:C38)=0,0,SUM(C14:C38)/'Sm Comm Cust Fcst'!$B45)</f>
        <v>731.80816594670898</v>
      </c>
      <c r="D44" s="414">
        <f>IF(SUM(D14:D38)=0,0,SUM(D14:D38)/'Sm Comm Cust Fcst'!$B45)</f>
        <v>234.29973156037588</v>
      </c>
      <c r="E44" s="510">
        <f>SUM(B44:D44)</f>
        <v>6101.9304885168558</v>
      </c>
      <c r="F44" s="505">
        <f>IF(SUM(F14:F38)=0,0,SUM(F14:F38)/'Sm Comm Cust Fcst'!$C45)</f>
        <v>13077.593907001397</v>
      </c>
      <c r="G44" s="414">
        <f>IF(SUM(G14:G38)=0,0,SUM(G14:G38)/'Sm Comm Cust Fcst'!$C45)</f>
        <v>1498.17193223394</v>
      </c>
      <c r="H44" s="414">
        <f>IF(SUM(H14:H38)=0,0,SUM(H14:H38)/'Sm Comm Cust Fcst'!$C45)</f>
        <v>324.31999301339584</v>
      </c>
      <c r="I44" s="510">
        <f>SUM(F44:H44)</f>
        <v>14900.085832248733</v>
      </c>
      <c r="J44" s="505">
        <f>IF(SUM(J14:J38)=0,0,SUM(J14:J38)/'Sm Comm Cust Fcst'!$D45)</f>
        <v>13929.205703711366</v>
      </c>
      <c r="K44" s="414">
        <f>IF(SUM(K14:K38)=0,0,SUM(K14:K38)/'Sm Comm Cust Fcst'!$D45)</f>
        <v>1732.1869276442658</v>
      </c>
      <c r="L44" s="414">
        <f>IF(SUM(L14:L38)=0,0,SUM(L14:L38)/'Sm Comm Cust Fcst'!$D45)</f>
        <v>365.60263307312493</v>
      </c>
      <c r="M44" s="510">
        <f>SUM(J44:L44)</f>
        <v>16026.995264428759</v>
      </c>
      <c r="N44" s="505">
        <f>IF(SUM(N14:N38)=0,0,SUM(N14:N38)/'Sm Comm Cust Fcst'!$E45)</f>
        <v>10763.34604280963</v>
      </c>
      <c r="O44" s="414">
        <f>IF(SUM(O14:O38)=0,0,SUM(O14:O38)/'Sm Comm Cust Fcst'!$E45)</f>
        <v>1387.354329342643</v>
      </c>
      <c r="P44" s="414">
        <f>IF(SUM(P14:P38)=0,0,SUM(P14:P38)/'Sm Comm Cust Fcst'!$E45)</f>
        <v>481.31768047858236</v>
      </c>
      <c r="Q44" s="510">
        <f>SUM(N44:P44)</f>
        <v>12632.018052630854</v>
      </c>
      <c r="R44" s="505">
        <f>IF(SUM(R14:R38)=0,0,SUM(R14:R38)/'Sm Comm Cust Fcst'!$F45)</f>
        <v>11815.340018438215</v>
      </c>
      <c r="S44" s="414">
        <f>IF(SUM(S14:S38)=0,0,SUM(S14:S38)/'Sm Comm Cust Fcst'!$F45)</f>
        <v>1490.7748565081272</v>
      </c>
      <c r="T44" s="414">
        <f>IF(SUM(T14:T38)=0,0,SUM(T14:T38)/'Sm Comm Cust Fcst'!$F45)</f>
        <v>419.83855008600983</v>
      </c>
      <c r="U44" s="510">
        <f>SUM(R44:T44)</f>
        <v>13725.953425032352</v>
      </c>
      <c r="V44" s="505">
        <f>IF(SUM(V14:V38)=0,0,SUM(V14:V38)/'Sm Comm Cust Fcst'!$G45)</f>
        <v>0</v>
      </c>
      <c r="W44" s="414">
        <f>IF(SUM(W14:W38)=0,0,SUM(W14:W38)/'Sm Comm Cust Fcst'!$G45)</f>
        <v>4677.5944038281241</v>
      </c>
      <c r="X44" s="414">
        <f>IF(SUM(X14:X38)=0,0,SUM(X14:X38)/'Sm Comm Cust Fcst'!$G45)</f>
        <v>933.77304233223413</v>
      </c>
      <c r="Y44" s="510">
        <f>SUM(V44:X44)</f>
        <v>5611.3674461603587</v>
      </c>
      <c r="Z44" s="505">
        <f>IF(SUM(Z14:Z38)=0,0,SUM(Z14:Z38)/'Sm Comm Cust Fcst'!$H45)</f>
        <v>11768.078658364462</v>
      </c>
      <c r="AA44" s="414">
        <f>IF(SUM(AA14:AA38)=0,0,SUM(AA14:AA38)/'Sm Comm Cust Fcst'!$H45)</f>
        <v>1503.5221346974072</v>
      </c>
      <c r="AB44" s="414">
        <f>IF(SUM(AB14:AB38)=0,0,SUM(AB14:AB38)/'Sm Comm Cust Fcst'!$H45)</f>
        <v>421.89428805499472</v>
      </c>
      <c r="AC44" s="510">
        <f>SUM(Z44:AB44)</f>
        <v>13693.495081116864</v>
      </c>
    </row>
    <row r="45" spans="1:29">
      <c r="A45" s="55"/>
      <c r="C45" s="12"/>
      <c r="D45" s="12"/>
      <c r="G45" s="12"/>
      <c r="H45" s="12"/>
      <c r="K45" s="12"/>
      <c r="L45" s="12"/>
      <c r="O45" s="12"/>
      <c r="P45" s="12"/>
      <c r="S45" s="12"/>
      <c r="T45" s="12"/>
      <c r="W45" s="12"/>
      <c r="X45" s="12"/>
      <c r="AA45" s="12"/>
      <c r="AB45" s="12"/>
    </row>
    <row r="46" spans="1:29">
      <c r="A46" s="340" t="s">
        <v>102</v>
      </c>
      <c r="B46" s="18"/>
      <c r="C46" s="18"/>
      <c r="D46" s="18"/>
      <c r="E46" s="108">
        <f>IF(SUM(B7:D38)=0,0,SUM(B7:D38)/'Sm Comm Cust Fcst'!$B41)-E40</f>
        <v>0</v>
      </c>
      <c r="F46" s="18"/>
      <c r="G46" s="18"/>
      <c r="H46" s="18"/>
      <c r="I46" s="108">
        <f>IF(SUM(F7:H38)=0,0,SUM(F7:H38)/'Sm Comm Cust Fcst'!$C41)-I40</f>
        <v>0</v>
      </c>
      <c r="J46" s="18"/>
      <c r="K46" s="18"/>
      <c r="L46" s="18"/>
      <c r="M46" s="108">
        <f>IF(SUM(J7:L38)=0,0,SUM(J7:L38)/'Sm Comm Cust Fcst'!$D41)-M40</f>
        <v>0</v>
      </c>
      <c r="N46" s="18"/>
      <c r="O46" s="18"/>
      <c r="P46" s="18"/>
      <c r="Q46" s="108">
        <f>IF(SUM(N7:P38)=0,0,SUM(N7:P38)/'Sm Comm Cust Fcst'!$E41)-Q40</f>
        <v>0</v>
      </c>
      <c r="R46" s="18"/>
      <c r="S46" s="18"/>
      <c r="T46" s="18"/>
      <c r="U46" s="108">
        <f>IF(SUM(R7:T38)=0,0,SUM(R7:T38)/'Sm Comm Cust Fcst'!$F41)-U40</f>
        <v>0</v>
      </c>
      <c r="V46" s="18"/>
      <c r="W46" s="18"/>
      <c r="X46" s="18"/>
      <c r="Y46" s="108">
        <f>IF(SUM(V7:X38)=0,0,SUM(V7:X38)/'Sm Comm Cust Fcst'!$G41)-Y40</f>
        <v>0</v>
      </c>
      <c r="Z46" s="18"/>
      <c r="AA46" s="18"/>
      <c r="AB46" s="18"/>
      <c r="AC46" s="108">
        <f>IF(SUM(Z7:AB38)=0,0,SUM(Z7:AB38)/'Sm Comm Cust Fcst'!$H41)-AC40</f>
        <v>0</v>
      </c>
    </row>
    <row r="47" spans="1:29">
      <c r="B47" s="18"/>
      <c r="E47" s="108">
        <f>IF(SUM(B7:D8)=0,0,SUM(B7:D8)/'Sm Comm Cust Fcst'!$B42)-E41</f>
        <v>0</v>
      </c>
      <c r="I47" s="108">
        <f>IF(SUM(F7:H8)=0,0,SUM(F7:H8)/'Sm Comm Cust Fcst'!$C42)-I41</f>
        <v>0</v>
      </c>
      <c r="M47" s="108">
        <f>IF(SUM(J7:L8)=0,0,SUM(J7:L8)/'Sm Comm Cust Fcst'!$D42)-M41</f>
        <v>0</v>
      </c>
      <c r="Q47" s="108">
        <f>IF(SUM(N7:P8)=0,0,SUM(N7:P8)/'Sm Comm Cust Fcst'!$E42)-Q41</f>
        <v>0</v>
      </c>
      <c r="U47" s="108">
        <f>IF(SUM(R7:T8)=0,0,SUM(R7:T8)/'Sm Comm Cust Fcst'!$F42)-U41</f>
        <v>0</v>
      </c>
      <c r="Y47" s="108">
        <f>IF(SUM(V7:X8)=0,0,SUM(V7:X8)/'Sm Comm Cust Fcst'!$G42)-Y41</f>
        <v>0</v>
      </c>
      <c r="AC47" s="108">
        <f>IF(SUM(Z7:AB8)=0,0,SUM(Z7:AB8)/'Sm Comm Cust Fcst'!$H42)-AC41</f>
        <v>0</v>
      </c>
    </row>
    <row r="48" spans="1:29">
      <c r="E48" s="108">
        <f>IF(SUM(B9:D11)=0,0,SUM(B9:D11)/'Sm Comm Cust Fcst'!$B43)-E42</f>
        <v>0</v>
      </c>
      <c r="I48" s="108">
        <f>IF(SUM(F9:H11)=0,0,SUM(F9:H11)/'Sm Comm Cust Fcst'!$C43)-I42</f>
        <v>0</v>
      </c>
      <c r="M48" s="108">
        <f>IF(SUM(J9:L11)=0,0,SUM(J9:L11)/'Sm Comm Cust Fcst'!$D43)-M42</f>
        <v>0</v>
      </c>
      <c r="Q48" s="108">
        <f>IF(SUM(N9:P11)=0,0,SUM(N9:P11)/'Sm Comm Cust Fcst'!$E43)-Q42</f>
        <v>0</v>
      </c>
      <c r="U48" s="108">
        <f>IF(SUM(R9:T11)=0,0,SUM(R9:T11)/'Sm Comm Cust Fcst'!$F43)-U42</f>
        <v>0</v>
      </c>
      <c r="Y48" s="108">
        <f>IF(SUM(V9:X11)=0,0,SUM(V9:X11)/'Sm Comm Cust Fcst'!$G43)-Y42</f>
        <v>0</v>
      </c>
      <c r="AC48" s="108">
        <f>IF(SUM(Z9:AB11)=0,0,SUM(Z9:AB11)/'Sm Comm Cust Fcst'!$H43)-AC42</f>
        <v>0</v>
      </c>
    </row>
    <row r="49" spans="1:29">
      <c r="E49" s="108">
        <f>IF(SUM(B12:D13)=0,0,SUM(B12:D13)/'Sm Comm Cust Fcst'!$B44)-E43</f>
        <v>0</v>
      </c>
      <c r="I49" s="108">
        <f>IF(SUM(F12:H13)=0,0,SUM(F12:H13)/'Sm Comm Cust Fcst'!$C44)-I43</f>
        <v>0</v>
      </c>
      <c r="M49" s="108">
        <f>IF(SUM(J12:L13)=0,0,SUM(J12:L13)/'Sm Comm Cust Fcst'!$D44)-M43</f>
        <v>0</v>
      </c>
      <c r="Q49" s="108">
        <f>IF(SUM(N12:P13)=0,0,SUM(N12:P13)/'Sm Comm Cust Fcst'!$E44)-Q43</f>
        <v>0</v>
      </c>
      <c r="U49" s="108">
        <f>IF(SUM(R12:T13)=0,0,SUM(R12:T13)/'Sm Comm Cust Fcst'!$F44)-U43</f>
        <v>0</v>
      </c>
      <c r="Y49" s="108">
        <f>IF(SUM(V12:X13)=0,0,SUM(V12:X13)/'Sm Comm Cust Fcst'!$G44)-Y43</f>
        <v>0</v>
      </c>
      <c r="AC49" s="108">
        <f>IF(SUM(Z12:AB13)=0,0,SUM(Z12:AB13)/'Sm Comm Cust Fcst'!$H44)-AC43</f>
        <v>0</v>
      </c>
    </row>
    <row r="50" spans="1:29">
      <c r="A50" s="19"/>
      <c r="E50" s="108">
        <f>IF(SUM(B14:D38)=0,0,SUM(B14:D38)/'Sm Comm Cust Fcst'!$B45)-E44</f>
        <v>0</v>
      </c>
      <c r="I50" s="108">
        <f>IF(SUM(F14:H38)=0,0,SUM(F14:H38)/'Sm Comm Cust Fcst'!$C45)-I44</f>
        <v>0</v>
      </c>
      <c r="M50" s="108">
        <f>IF(SUM(J14:L38)=0,0,SUM(J14:L38)/'Sm Comm Cust Fcst'!$D45)-M44</f>
        <v>0</v>
      </c>
      <c r="Q50" s="108">
        <f>IF(SUM(N14:P38)=0,0,SUM(N14:P38)/'Sm Comm Cust Fcst'!$E45)-Q44</f>
        <v>0</v>
      </c>
      <c r="U50" s="108">
        <f>IF(SUM(R14:T38)=0,0,SUM(R14:T38)/'Sm Comm Cust Fcst'!$F45)-U44</f>
        <v>0</v>
      </c>
      <c r="Y50" s="108">
        <f>IF(SUM(V14:X38)=0,0,SUM(V14:X38)/'Sm Comm Cust Fcst'!$G45)-Y44</f>
        <v>0</v>
      </c>
      <c r="AC50" s="108">
        <f>IF(SUM(Z14:AB38)=0,0,SUM(Z14:AB38)/'Sm Comm Cust Fcst'!$H45)-AC44</f>
        <v>0</v>
      </c>
    </row>
    <row r="62" spans="1:29">
      <c r="A62" s="19"/>
    </row>
  </sheetData>
  <mergeCells count="9">
    <mergeCell ref="A1:Y1"/>
    <mergeCell ref="B2:U2"/>
    <mergeCell ref="V2:Y2"/>
    <mergeCell ref="Z2:AC2"/>
    <mergeCell ref="B3:E3"/>
    <mergeCell ref="F3:I3"/>
    <mergeCell ref="J3:M3"/>
    <mergeCell ref="N3:Q3"/>
    <mergeCell ref="R3:U3"/>
  </mergeCells>
  <printOptions horizontalCentered="1"/>
  <pageMargins left="0.75" right="0.75" top="1" bottom="1" header="0.5" footer="0.5"/>
  <pageSetup scale="48" orientation="portrait" r:id="rId1"/>
  <headerFooter alignWithMargins="0">
    <oddFooter>&amp;L&amp;F
&amp;A&amp;R&amp;P of &amp;N</oddFooter>
  </headerFooter>
  <colBreaks count="1" manualBreakCount="1">
    <brk id="13" max="43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78">
    <tabColor rgb="FF00642D"/>
    <pageSetUpPr fitToPage="1"/>
  </sheetPr>
  <dimension ref="A1:P59"/>
  <sheetViews>
    <sheetView zoomScaleNormal="100" workbookViewId="0">
      <selection activeCell="A26" sqref="A26"/>
    </sheetView>
  </sheetViews>
  <sheetFormatPr defaultRowHeight="12.75"/>
  <cols>
    <col min="1" max="1" width="41.140625" customWidth="1"/>
    <col min="2" max="11" width="11.140625" customWidth="1"/>
    <col min="12" max="12" width="9.140625" bestFit="1" customWidth="1"/>
    <col min="13" max="15" width="10.28515625" bestFit="1" customWidth="1"/>
    <col min="16" max="16" width="9.140625" bestFit="1" customWidth="1"/>
  </cols>
  <sheetData>
    <row r="1" spans="1:16" ht="18.75" thickBot="1">
      <c r="A1" s="826" t="s">
        <v>413</v>
      </c>
      <c r="B1" s="826"/>
      <c r="C1" s="826"/>
      <c r="D1" s="826"/>
      <c r="E1" s="826"/>
      <c r="F1" s="826"/>
      <c r="G1" s="826"/>
      <c r="H1" s="826"/>
      <c r="I1" s="826"/>
      <c r="J1" s="826"/>
      <c r="K1" s="826"/>
      <c r="L1" s="826"/>
      <c r="M1" s="826"/>
      <c r="N1" s="826"/>
      <c r="O1" s="826"/>
      <c r="P1" s="826"/>
    </row>
    <row r="2" spans="1:16" ht="13.5" thickBot="1">
      <c r="A2" s="131"/>
      <c r="B2" s="827" t="s">
        <v>406</v>
      </c>
      <c r="C2" s="828"/>
      <c r="D2" s="828"/>
      <c r="E2" s="828"/>
      <c r="F2" s="828"/>
      <c r="G2" s="828"/>
      <c r="H2" s="828"/>
      <c r="I2" s="828"/>
      <c r="J2" s="828"/>
      <c r="K2" s="828"/>
      <c r="L2" s="828"/>
      <c r="M2" s="828"/>
      <c r="N2" s="828"/>
      <c r="O2" s="828"/>
      <c r="P2" s="829"/>
    </row>
    <row r="3" spans="1:16" ht="13.5" thickBot="1">
      <c r="A3" s="196"/>
      <c r="B3" s="827" t="s">
        <v>0</v>
      </c>
      <c r="C3" s="828"/>
      <c r="D3" s="828"/>
      <c r="E3" s="828"/>
      <c r="F3" s="829"/>
      <c r="G3" s="828" t="s">
        <v>1</v>
      </c>
      <c r="H3" s="828"/>
      <c r="I3" s="828"/>
      <c r="J3" s="828"/>
      <c r="K3" s="829"/>
      <c r="L3" s="827" t="s">
        <v>414</v>
      </c>
      <c r="M3" s="828"/>
      <c r="N3" s="828"/>
      <c r="O3" s="828"/>
      <c r="P3" s="829"/>
    </row>
    <row r="4" spans="1:16" ht="13.5" thickBot="1">
      <c r="A4" s="102" t="s">
        <v>47</v>
      </c>
      <c r="B4" s="668" t="s">
        <v>103</v>
      </c>
      <c r="C4" s="669" t="s">
        <v>128</v>
      </c>
      <c r="D4" s="669" t="s">
        <v>129</v>
      </c>
      <c r="E4" s="669" t="s">
        <v>130</v>
      </c>
      <c r="F4" s="670" t="s">
        <v>167</v>
      </c>
      <c r="G4" s="667" t="s">
        <v>103</v>
      </c>
      <c r="H4" s="665" t="s">
        <v>128</v>
      </c>
      <c r="I4" s="665" t="s">
        <v>129</v>
      </c>
      <c r="J4" s="665" t="s">
        <v>130</v>
      </c>
      <c r="K4" s="666" t="s">
        <v>168</v>
      </c>
      <c r="L4" s="667" t="s">
        <v>103</v>
      </c>
      <c r="M4" s="665" t="s">
        <v>128</v>
      </c>
      <c r="N4" s="665" t="s">
        <v>129</v>
      </c>
      <c r="O4" s="665" t="s">
        <v>130</v>
      </c>
      <c r="P4" s="666" t="s">
        <v>2</v>
      </c>
    </row>
    <row r="5" spans="1:16">
      <c r="A5" s="621"/>
      <c r="B5" s="39"/>
      <c r="C5" s="176"/>
      <c r="D5" s="176"/>
      <c r="E5" s="176"/>
      <c r="F5" s="176"/>
      <c r="G5" s="39"/>
      <c r="H5" s="176"/>
      <c r="I5" s="176"/>
      <c r="J5" s="176"/>
      <c r="K5" s="373"/>
      <c r="L5" s="39"/>
      <c r="M5" s="176"/>
      <c r="N5" s="176"/>
      <c r="O5" s="176"/>
      <c r="P5" s="373"/>
    </row>
    <row r="6" spans="1:16">
      <c r="A6" s="145"/>
      <c r="B6" s="40"/>
      <c r="C6" s="84"/>
      <c r="D6" s="84"/>
      <c r="E6" s="84"/>
      <c r="F6" s="84"/>
      <c r="G6" s="40"/>
      <c r="H6" s="84"/>
      <c r="I6" s="84"/>
      <c r="J6" s="84"/>
      <c r="K6" s="161"/>
      <c r="L6" s="40"/>
      <c r="M6" s="84"/>
      <c r="N6" s="84"/>
      <c r="O6" s="84"/>
      <c r="P6" s="161"/>
    </row>
    <row r="7" spans="1:16">
      <c r="A7" s="145" t="s">
        <v>49</v>
      </c>
      <c r="B7" s="40"/>
      <c r="C7" s="84"/>
      <c r="D7" s="84"/>
      <c r="E7" s="84"/>
      <c r="F7" s="84"/>
      <c r="G7" s="40"/>
      <c r="H7" s="84"/>
      <c r="I7" s="84"/>
      <c r="J7" s="84"/>
      <c r="K7" s="161"/>
      <c r="L7" s="40"/>
      <c r="M7" s="84"/>
      <c r="N7" s="84"/>
      <c r="O7" s="84"/>
      <c r="P7" s="161"/>
    </row>
    <row r="8" spans="1:16">
      <c r="A8" s="517"/>
      <c r="B8" s="41"/>
      <c r="C8" s="85"/>
      <c r="D8" s="85"/>
      <c r="E8" s="85"/>
      <c r="F8" s="85"/>
      <c r="G8" s="41"/>
      <c r="H8" s="85"/>
      <c r="I8" s="85"/>
      <c r="J8" s="85"/>
      <c r="K8" s="162"/>
      <c r="L8" s="41"/>
      <c r="M8" s="85"/>
      <c r="N8" s="85"/>
      <c r="O8" s="85"/>
      <c r="P8" s="162"/>
    </row>
    <row r="9" spans="1:16">
      <c r="A9" s="145" t="s">
        <v>53</v>
      </c>
      <c r="B9" s="139">
        <f>'Sch TOU-A TSM'!$R$41</f>
        <v>543.88449179423048</v>
      </c>
      <c r="C9" s="37">
        <f>'Sch TOU-A TSM'!$R$42</f>
        <v>2256.6290689688572</v>
      </c>
      <c r="D9" s="37">
        <f>'Sch TOU-A TSM'!$R$43</f>
        <v>7775.7238370865125</v>
      </c>
      <c r="E9" s="37">
        <f>'Sch TOU-A TSM'!$R$44</f>
        <v>11815.340018438215</v>
      </c>
      <c r="F9" s="37">
        <f>'Sch TOU-A TSM'!$R$40</f>
        <v>1996.5716117165152</v>
      </c>
      <c r="G9" s="139">
        <f>'Sch TOU-A TSM'!$V$41</f>
        <v>0</v>
      </c>
      <c r="H9" s="37">
        <f>'Sch TOU-A TSM'!$V$42</f>
        <v>0</v>
      </c>
      <c r="I9" s="37">
        <f>'Sch TOU-A TSM'!$V$43</f>
        <v>0</v>
      </c>
      <c r="J9" s="37">
        <f>'Sch TOU-A TSM'!$V$44</f>
        <v>0</v>
      </c>
      <c r="K9" s="38">
        <f>'Sch TOU-A TSM'!$V$40</f>
        <v>0</v>
      </c>
      <c r="L9" s="139">
        <f>'Sch TOU-A TSM'!$Z$41</f>
        <v>543.81988208981204</v>
      </c>
      <c r="M9" s="37">
        <f>'Sch TOU-A TSM'!$Z$42</f>
        <v>2256.3164876036844</v>
      </c>
      <c r="N9" s="37">
        <f>'Sch TOU-A TSM'!$Z$43</f>
        <v>7773.8951155820232</v>
      </c>
      <c r="O9" s="37">
        <f>'Sch TOU-A TSM'!$Z$44</f>
        <v>11768.078658364462</v>
      </c>
      <c r="P9" s="38">
        <f>'Sch TOU-A TSM'!$Z$40</f>
        <v>1996.2514841492186</v>
      </c>
    </row>
    <row r="10" spans="1:16">
      <c r="A10" s="145" t="s">
        <v>51</v>
      </c>
      <c r="B10" s="139">
        <f>'Sch TOU-A TSM'!$S$41</f>
        <v>301.59303625533897</v>
      </c>
      <c r="C10" s="37">
        <f>'Sch TOU-A TSM'!$S$42</f>
        <v>526.53802279500019</v>
      </c>
      <c r="D10" s="37">
        <f>'Sch TOU-A TSM'!$S$43</f>
        <v>737.60415175586695</v>
      </c>
      <c r="E10" s="37">
        <f>'Sch TOU-A TSM'!$S$44</f>
        <v>1490.7748565081272</v>
      </c>
      <c r="F10" s="37">
        <f>'Sch TOU-A TSM'!$S$40</f>
        <v>455.61366211139114</v>
      </c>
      <c r="G10" s="139">
        <f>'Sch TOU-A TSM'!$W$41</f>
        <v>3129.9273129422195</v>
      </c>
      <c r="H10" s="37">
        <f>'Sch TOU-A TSM'!$W$42</f>
        <v>3129.9273129422195</v>
      </c>
      <c r="I10" s="37">
        <f>'Sch TOU-A TSM'!$W$43</f>
        <v>3129.9273129422195</v>
      </c>
      <c r="J10" s="37">
        <f>'Sch TOU-A TSM'!$W$44</f>
        <v>4677.5944038281241</v>
      </c>
      <c r="K10" s="38">
        <f>'Sch TOU-A TSM'!$W$40</f>
        <v>3362.0773765751051</v>
      </c>
      <c r="L10" s="139">
        <f>'Sch TOU-A TSM'!$AA$41</f>
        <v>301.92902274579831</v>
      </c>
      <c r="M10" s="37">
        <f>'Sch TOU-A TSM'!$AA$42</f>
        <v>526.89863632674087</v>
      </c>
      <c r="N10" s="37">
        <f>'Sch TOU-A TSM'!$AA$43</f>
        <v>738.16678655388819</v>
      </c>
      <c r="O10" s="37">
        <f>'Sch TOU-A TSM'!$AA$44</f>
        <v>1503.5221346974072</v>
      </c>
      <c r="P10" s="38">
        <f>'Sch TOU-A TSM'!$AA$40</f>
        <v>456.07968053661938</v>
      </c>
    </row>
    <row r="11" spans="1:16">
      <c r="A11" s="145" t="s">
        <v>52</v>
      </c>
      <c r="B11" s="139">
        <f>'Sch TOU-A TSM'!$T$41</f>
        <v>259.97903140445527</v>
      </c>
      <c r="C11" s="37">
        <f>'Sch TOU-A TSM'!$T$42</f>
        <v>281.21957976565909</v>
      </c>
      <c r="D11" s="37">
        <f>'Sch TOU-A TSM'!$T$43</f>
        <v>291.03531576507197</v>
      </c>
      <c r="E11" s="37">
        <f>'Sch TOU-A TSM'!$T$44</f>
        <v>419.83855008600983</v>
      </c>
      <c r="F11" s="37">
        <f>'Sch TOU-A TSM'!$T$40</f>
        <v>274.11793751413398</v>
      </c>
      <c r="G11" s="139">
        <f>'Sch TOU-A TSM'!$X$41</f>
        <v>865.67585029149416</v>
      </c>
      <c r="H11" s="37">
        <f>'Sch TOU-A TSM'!$X$42</f>
        <v>865.67585029149416</v>
      </c>
      <c r="I11" s="37">
        <f>'Sch TOU-A TSM'!$X$43</f>
        <v>865.67585029149416</v>
      </c>
      <c r="J11" s="37">
        <f>'Sch TOU-A TSM'!$X$44</f>
        <v>933.77304233223413</v>
      </c>
      <c r="K11" s="38">
        <f>'Sch TOU-A TSM'!$X$40</f>
        <v>875.89042909760519</v>
      </c>
      <c r="L11" s="139">
        <f>'Sch TOU-A TSM'!$AB$41</f>
        <v>260.05098398450843</v>
      </c>
      <c r="M11" s="37">
        <f>'Sch TOU-A TSM'!$AB$42</f>
        <v>281.30053686287846</v>
      </c>
      <c r="N11" s="37">
        <f>'Sch TOU-A TSM'!$AB$43</f>
        <v>291.1704617045184</v>
      </c>
      <c r="O11" s="37">
        <f>'Sch TOU-A TSM'!$AB$44</f>
        <v>421.89428805499472</v>
      </c>
      <c r="P11" s="38">
        <f>'Sch TOU-A TSM'!$AB$40</f>
        <v>274.21442489413397</v>
      </c>
    </row>
    <row r="12" spans="1:16">
      <c r="A12" s="518"/>
      <c r="B12" s="42"/>
      <c r="C12" s="86"/>
      <c r="D12" s="86"/>
      <c r="E12" s="86"/>
      <c r="F12" s="86"/>
      <c r="G12" s="42"/>
      <c r="H12" s="86"/>
      <c r="I12" s="86"/>
      <c r="J12" s="86"/>
      <c r="K12" s="375"/>
      <c r="L12" s="42"/>
      <c r="M12" s="86"/>
      <c r="N12" s="86"/>
      <c r="O12" s="86"/>
      <c r="P12" s="375"/>
    </row>
    <row r="13" spans="1:16">
      <c r="A13" s="145" t="s">
        <v>35</v>
      </c>
      <c r="B13" s="142">
        <f t="shared" ref="B13:P13" si="0">SUM(B9:B11)</f>
        <v>1105.4565594540247</v>
      </c>
      <c r="C13" s="34">
        <f t="shared" si="0"/>
        <v>3064.3866715295167</v>
      </c>
      <c r="D13" s="34">
        <f t="shared" si="0"/>
        <v>8804.3633046074501</v>
      </c>
      <c r="E13" s="34">
        <f t="shared" si="0"/>
        <v>13725.953425032352</v>
      </c>
      <c r="F13" s="34">
        <f t="shared" si="0"/>
        <v>2726.3032113420404</v>
      </c>
      <c r="G13" s="142">
        <f t="shared" si="0"/>
        <v>3995.6031632337135</v>
      </c>
      <c r="H13" s="34">
        <f t="shared" si="0"/>
        <v>3995.6031632337135</v>
      </c>
      <c r="I13" s="34">
        <f t="shared" si="0"/>
        <v>3995.6031632337135</v>
      </c>
      <c r="J13" s="34">
        <f t="shared" si="0"/>
        <v>5611.3674461603587</v>
      </c>
      <c r="K13" s="44">
        <f t="shared" si="0"/>
        <v>4237.9678056727098</v>
      </c>
      <c r="L13" s="142">
        <f t="shared" si="0"/>
        <v>1105.7998888201187</v>
      </c>
      <c r="M13" s="34">
        <f t="shared" si="0"/>
        <v>3064.5156607933036</v>
      </c>
      <c r="N13" s="34">
        <f t="shared" si="0"/>
        <v>8803.2323638404287</v>
      </c>
      <c r="O13" s="34">
        <f t="shared" si="0"/>
        <v>13693.495081116864</v>
      </c>
      <c r="P13" s="44">
        <f t="shared" si="0"/>
        <v>2726.5455895799719</v>
      </c>
    </row>
    <row r="14" spans="1:16">
      <c r="A14" s="518"/>
      <c r="B14" s="42"/>
      <c r="C14" s="86"/>
      <c r="D14" s="86"/>
      <c r="E14" s="86"/>
      <c r="F14" s="86"/>
      <c r="G14" s="42"/>
      <c r="H14" s="86"/>
      <c r="I14" s="86"/>
      <c r="J14" s="86"/>
      <c r="K14" s="375"/>
      <c r="L14" s="42"/>
      <c r="M14" s="86"/>
      <c r="N14" s="86"/>
      <c r="O14" s="86"/>
      <c r="P14" s="375"/>
    </row>
    <row r="15" spans="1:16">
      <c r="A15" s="145" t="s">
        <v>65</v>
      </c>
      <c r="B15" s="142"/>
      <c r="C15" s="34"/>
      <c r="D15" s="34"/>
      <c r="E15" s="34"/>
      <c r="F15" s="34"/>
      <c r="G15" s="142"/>
      <c r="H15" s="34"/>
      <c r="I15" s="34"/>
      <c r="J15" s="34"/>
      <c r="K15" s="44"/>
      <c r="L15" s="142"/>
      <c r="M15" s="34"/>
      <c r="N15" s="34"/>
      <c r="O15" s="34"/>
      <c r="P15" s="44"/>
    </row>
    <row r="16" spans="1:16">
      <c r="A16" s="519">
        <f>Inputs!C3</f>
        <v>2.7723662892949787E-2</v>
      </c>
      <c r="B16" s="142"/>
      <c r="C16" s="34"/>
      <c r="D16" s="34"/>
      <c r="E16" s="34"/>
      <c r="F16" s="34"/>
      <c r="G16" s="142"/>
      <c r="H16" s="34"/>
      <c r="I16" s="34"/>
      <c r="J16" s="34"/>
      <c r="K16" s="44"/>
      <c r="L16" s="142"/>
      <c r="M16" s="34"/>
      <c r="N16" s="34"/>
      <c r="O16" s="34"/>
      <c r="P16" s="44"/>
    </row>
    <row r="17" spans="1:16">
      <c r="A17" s="40" t="s">
        <v>64</v>
      </c>
      <c r="B17" s="142"/>
      <c r="C17" s="34"/>
      <c r="D17" s="34"/>
      <c r="E17" s="34"/>
      <c r="F17" s="34"/>
      <c r="G17" s="142"/>
      <c r="H17" s="34"/>
      <c r="I17" s="34"/>
      <c r="J17" s="34"/>
      <c r="K17" s="44"/>
      <c r="L17" s="142"/>
      <c r="M17" s="34"/>
      <c r="N17" s="34"/>
      <c r="O17" s="34"/>
      <c r="P17" s="44"/>
    </row>
    <row r="18" spans="1:16">
      <c r="A18" s="53">
        <f>Inputs!C4</f>
        <v>1.5023E-2</v>
      </c>
      <c r="B18" s="142"/>
      <c r="C18" s="34"/>
      <c r="D18" s="34"/>
      <c r="E18" s="34"/>
      <c r="F18" s="34"/>
      <c r="G18" s="142"/>
      <c r="H18" s="34"/>
      <c r="I18" s="34"/>
      <c r="J18" s="34"/>
      <c r="K18" s="44"/>
      <c r="L18" s="142"/>
      <c r="M18" s="34"/>
      <c r="N18" s="34"/>
      <c r="O18" s="34"/>
      <c r="P18" s="44"/>
    </row>
    <row r="19" spans="1:16">
      <c r="A19" s="519"/>
      <c r="B19" s="142"/>
      <c r="C19" s="34"/>
      <c r="D19" s="34"/>
      <c r="E19" s="34"/>
      <c r="F19" s="34"/>
      <c r="G19" s="142"/>
      <c r="H19" s="34"/>
      <c r="I19" s="34"/>
      <c r="J19" s="34"/>
      <c r="K19" s="44"/>
      <c r="L19" s="142"/>
      <c r="M19" s="34"/>
      <c r="N19" s="34"/>
      <c r="O19" s="34"/>
      <c r="P19" s="44"/>
    </row>
    <row r="20" spans="1:16">
      <c r="A20" s="520" t="s">
        <v>111</v>
      </c>
      <c r="B20" s="34">
        <f>(B9*(1+$A$16)*(1+$A$18))</f>
        <v>567.36026267702687</v>
      </c>
      <c r="C20" s="34">
        <f t="shared" ref="C20:P20" si="1">(C9*(1+$A$16)*(1+$A$18))</f>
        <v>2354.0323003347803</v>
      </c>
      <c r="D20" s="34">
        <f t="shared" si="1"/>
        <v>8111.3486140408122</v>
      </c>
      <c r="E20" s="34">
        <f t="shared" si="1"/>
        <v>12325.327376710109</v>
      </c>
      <c r="F20" s="34">
        <f t="shared" si="1"/>
        <v>2082.7499426211684</v>
      </c>
      <c r="G20" s="142">
        <f t="shared" si="1"/>
        <v>0</v>
      </c>
      <c r="H20" s="34">
        <f t="shared" si="1"/>
        <v>0</v>
      </c>
      <c r="I20" s="34">
        <f t="shared" si="1"/>
        <v>0</v>
      </c>
      <c r="J20" s="34">
        <f t="shared" si="1"/>
        <v>0</v>
      </c>
      <c r="K20" s="44">
        <f t="shared" si="1"/>
        <v>0</v>
      </c>
      <c r="L20" s="142">
        <f t="shared" si="1"/>
        <v>567.29286421389099</v>
      </c>
      <c r="M20" s="34">
        <f t="shared" si="1"/>
        <v>2353.706226971542</v>
      </c>
      <c r="N20" s="34">
        <f t="shared" si="1"/>
        <v>8109.4409591456933</v>
      </c>
      <c r="O20" s="34">
        <f t="shared" si="1"/>
        <v>12276.026067203267</v>
      </c>
      <c r="P20" s="44">
        <f t="shared" si="1"/>
        <v>2082.415997337911</v>
      </c>
    </row>
    <row r="21" spans="1:16">
      <c r="A21" s="520" t="s">
        <v>51</v>
      </c>
      <c r="B21" s="34">
        <f t="shared" ref="B21:P22" si="2">(B10*(1+$A$16)*(1+$A$18))</f>
        <v>314.61074337109153</v>
      </c>
      <c r="C21" s="34">
        <f t="shared" si="2"/>
        <v>549.26506533934355</v>
      </c>
      <c r="D21" s="34">
        <f t="shared" si="2"/>
        <v>769.4414744412345</v>
      </c>
      <c r="E21" s="34">
        <f t="shared" si="2"/>
        <v>1555.1214034261427</v>
      </c>
      <c r="F21" s="34">
        <f t="shared" si="2"/>
        <v>475.27938544818636</v>
      </c>
      <c r="G21" s="142">
        <f t="shared" si="2"/>
        <v>3265.0248521936915</v>
      </c>
      <c r="H21" s="34">
        <f t="shared" si="2"/>
        <v>3265.0248521936915</v>
      </c>
      <c r="I21" s="34">
        <f t="shared" si="2"/>
        <v>3265.0248521936915</v>
      </c>
      <c r="J21" s="34">
        <f t="shared" si="2"/>
        <v>4879.4941383556979</v>
      </c>
      <c r="K21" s="44">
        <f t="shared" si="2"/>
        <v>3507.1952451179923</v>
      </c>
      <c r="L21" s="142">
        <f t="shared" si="2"/>
        <v>314.96123209867801</v>
      </c>
      <c r="M21" s="34">
        <f t="shared" si="2"/>
        <v>549.64124408902319</v>
      </c>
      <c r="N21" s="34">
        <f t="shared" si="2"/>
        <v>770.02839433252166</v>
      </c>
      <c r="O21" s="34">
        <f t="shared" si="2"/>
        <v>1568.4188943658608</v>
      </c>
      <c r="P21" s="44">
        <f t="shared" si="2"/>
        <v>475.76551869915954</v>
      </c>
    </row>
    <row r="22" spans="1:16">
      <c r="A22" s="520" t="s">
        <v>52</v>
      </c>
      <c r="B22" s="34">
        <f t="shared" si="2"/>
        <v>271.20054675865913</v>
      </c>
      <c r="C22" s="34">
        <f t="shared" si="2"/>
        <v>293.35790421127064</v>
      </c>
      <c r="D22" s="34">
        <f t="shared" si="2"/>
        <v>303.59731834978254</v>
      </c>
      <c r="E22" s="34">
        <f t="shared" si="2"/>
        <v>437.96010670011799</v>
      </c>
      <c r="F22" s="34">
        <f t="shared" si="2"/>
        <v>285.94973267107537</v>
      </c>
      <c r="G22" s="142">
        <f t="shared" si="2"/>
        <v>903.04115161341838</v>
      </c>
      <c r="H22" s="34">
        <f t="shared" si="2"/>
        <v>903.04115161341838</v>
      </c>
      <c r="I22" s="34">
        <f t="shared" si="2"/>
        <v>903.04115161341838</v>
      </c>
      <c r="J22" s="34">
        <f t="shared" si="2"/>
        <v>974.07763334200445</v>
      </c>
      <c r="K22" s="44">
        <f t="shared" si="2"/>
        <v>913.69662387270637</v>
      </c>
      <c r="L22" s="142">
        <f t="shared" si="2"/>
        <v>271.27560503911235</v>
      </c>
      <c r="M22" s="34">
        <f t="shared" si="2"/>
        <v>293.44235567226451</v>
      </c>
      <c r="N22" s="34">
        <f t="shared" si="2"/>
        <v>303.7382976144259</v>
      </c>
      <c r="O22" s="34">
        <f t="shared" si="2"/>
        <v>440.10457680668549</v>
      </c>
      <c r="P22" s="44">
        <f t="shared" si="2"/>
        <v>286.05038475086019</v>
      </c>
    </row>
    <row r="23" spans="1:16">
      <c r="A23" s="519"/>
      <c r="B23" s="142"/>
      <c r="C23" s="34"/>
      <c r="D23" s="34"/>
      <c r="E23" s="34"/>
      <c r="F23" s="34"/>
      <c r="G23" s="142"/>
      <c r="H23" s="34"/>
      <c r="I23" s="34"/>
      <c r="J23" s="34"/>
      <c r="K23" s="44"/>
      <c r="L23" s="142"/>
      <c r="M23" s="34"/>
      <c r="N23" s="34"/>
      <c r="O23" s="34"/>
      <c r="P23" s="44"/>
    </row>
    <row r="24" spans="1:16">
      <c r="A24" s="145" t="s">
        <v>35</v>
      </c>
      <c r="B24" s="142">
        <f t="shared" ref="B24:P24" si="3">SUM(B20:B22)</f>
        <v>1153.1715528067775</v>
      </c>
      <c r="C24" s="34">
        <f t="shared" si="3"/>
        <v>3196.6552698853943</v>
      </c>
      <c r="D24" s="34">
        <f t="shared" si="3"/>
        <v>9184.3874068318291</v>
      </c>
      <c r="E24" s="34">
        <f t="shared" si="3"/>
        <v>14318.408886836371</v>
      </c>
      <c r="F24" s="34">
        <f t="shared" si="3"/>
        <v>2843.9790607404302</v>
      </c>
      <c r="G24" s="142">
        <f t="shared" si="3"/>
        <v>4168.0660038071101</v>
      </c>
      <c r="H24" s="34">
        <f t="shared" si="3"/>
        <v>4168.0660038071101</v>
      </c>
      <c r="I24" s="34">
        <f t="shared" si="3"/>
        <v>4168.0660038071101</v>
      </c>
      <c r="J24" s="34">
        <f t="shared" si="3"/>
        <v>5853.5717716977024</v>
      </c>
      <c r="K24" s="44">
        <f t="shared" si="3"/>
        <v>4420.8918689906986</v>
      </c>
      <c r="L24" s="142">
        <f t="shared" si="3"/>
        <v>1153.5297013516813</v>
      </c>
      <c r="M24" s="34">
        <f t="shared" si="3"/>
        <v>3196.7898267328296</v>
      </c>
      <c r="N24" s="34">
        <f t="shared" si="3"/>
        <v>9183.2076510926399</v>
      </c>
      <c r="O24" s="34">
        <f t="shared" si="3"/>
        <v>14284.549538375813</v>
      </c>
      <c r="P24" s="44">
        <f t="shared" si="3"/>
        <v>2844.231900787931</v>
      </c>
    </row>
    <row r="25" spans="1:16">
      <c r="A25" s="145"/>
      <c r="B25" s="142"/>
      <c r="C25" s="34"/>
      <c r="D25" s="34"/>
      <c r="E25" s="34"/>
      <c r="F25" s="34"/>
      <c r="G25" s="142"/>
      <c r="H25" s="34"/>
      <c r="I25" s="34"/>
      <c r="J25" s="34"/>
      <c r="K25" s="44"/>
      <c r="L25" s="142"/>
      <c r="M25" s="34"/>
      <c r="N25" s="34"/>
      <c r="O25" s="34"/>
      <c r="P25" s="44"/>
    </row>
    <row r="26" spans="1:16">
      <c r="A26" s="806" t="str">
        <f>'Resid TSM Sum by Rate Schedule'!A25</f>
        <v>Annualized Transformer Cost at 8.05%</v>
      </c>
      <c r="B26" s="147">
        <f>B20*Inputs!$C$5</f>
        <v>45.660395114919169</v>
      </c>
      <c r="C26" s="97">
        <f>C20*Inputs!$C$5</f>
        <v>189.44937109167125</v>
      </c>
      <c r="D26" s="97">
        <f>D20*Inputs!$C$5</f>
        <v>652.79048780120377</v>
      </c>
      <c r="E26" s="97">
        <f>E20*Inputs!$C$5</f>
        <v>991.92586256552693</v>
      </c>
      <c r="F26" s="97">
        <f>F20*Inputs!$C$5</f>
        <v>167.61692977393722</v>
      </c>
      <c r="G26" s="147">
        <f>G20*Inputs!$C$5</f>
        <v>0</v>
      </c>
      <c r="H26" s="97">
        <f>H20*Inputs!$C$5</f>
        <v>0</v>
      </c>
      <c r="I26" s="97">
        <f>I20*Inputs!$C$5</f>
        <v>0</v>
      </c>
      <c r="J26" s="97">
        <f>J20*Inputs!$C$5</f>
        <v>0</v>
      </c>
      <c r="K26" s="99">
        <f>K20*Inputs!$C$5</f>
        <v>0</v>
      </c>
      <c r="L26" s="147">
        <f>L20*Inputs!$C$5</f>
        <v>45.654970976749183</v>
      </c>
      <c r="M26" s="97">
        <f>M20*Inputs!$C$5</f>
        <v>189.42312914351004</v>
      </c>
      <c r="N26" s="97">
        <f>N20*Inputs!$C$5</f>
        <v>652.63696228666913</v>
      </c>
      <c r="O26" s="97">
        <f>O20*Inputs!$C$5</f>
        <v>987.95815911526472</v>
      </c>
      <c r="P26" s="99">
        <f>P20*Inputs!$C$5</f>
        <v>167.59005430418128</v>
      </c>
    </row>
    <row r="27" spans="1:16">
      <c r="A27" s="806" t="str">
        <f>'Resid TSM Sum by Rate Schedule'!A26</f>
        <v>Annualized Services Cost at 7.08%</v>
      </c>
      <c r="B27" s="147">
        <f>B21*Inputs!$C$6</f>
        <v>22.266594220402705</v>
      </c>
      <c r="C27" s="97">
        <f>C21*Inputs!$C$6</f>
        <v>38.874267923292848</v>
      </c>
      <c r="D27" s="97">
        <f>D21*Inputs!$C$6</f>
        <v>54.457266475235073</v>
      </c>
      <c r="E27" s="97">
        <f>E21*Inputs!$C$6</f>
        <v>110.06381054415978</v>
      </c>
      <c r="F27" s="97">
        <f>F21*Inputs!$C$6</f>
        <v>33.6379269941662</v>
      </c>
      <c r="G27" s="147">
        <f>G21*Inputs!$C$6</f>
        <v>231.08232962526188</v>
      </c>
      <c r="H27" s="97">
        <f>H21*Inputs!$C$6</f>
        <v>231.08232962526188</v>
      </c>
      <c r="I27" s="97">
        <f>I21*Inputs!$C$6</f>
        <v>231.08232962526188</v>
      </c>
      <c r="J27" s="97">
        <f>J21*Inputs!$C$6</f>
        <v>345.34649012746746</v>
      </c>
      <c r="K27" s="99">
        <f>K21*Inputs!$C$6</f>
        <v>248.22195370059271</v>
      </c>
      <c r="L27" s="147">
        <f>L21*Inputs!$C$6</f>
        <v>22.291400081106541</v>
      </c>
      <c r="M27" s="97">
        <f>M21*Inputs!$C$6</f>
        <v>38.900891996850227</v>
      </c>
      <c r="N27" s="97">
        <f>N21*Inputs!$C$6</f>
        <v>54.498805765721919</v>
      </c>
      <c r="O27" s="97">
        <f>O21*Inputs!$C$6</f>
        <v>111.00494126249301</v>
      </c>
      <c r="P27" s="99">
        <f>P21*Inputs!$C$6</f>
        <v>33.672333104143497</v>
      </c>
    </row>
    <row r="28" spans="1:16" ht="15">
      <c r="A28" s="806" t="str">
        <f>'Resid TSM Sum by Rate Schedule'!A27</f>
        <v>Annualized Meter Cost at 10.78%</v>
      </c>
      <c r="B28" s="628">
        <f>B22*Inputs!$C$7</f>
        <v>29.226319985007461</v>
      </c>
      <c r="C28" s="627">
        <f>C22*Inputs!$C$7</f>
        <v>31.614139724576393</v>
      </c>
      <c r="D28" s="627">
        <f>D22*Inputs!$C$7</f>
        <v>32.717605029672072</v>
      </c>
      <c r="E28" s="627">
        <f>E22*Inputs!$C$7</f>
        <v>47.197405654481663</v>
      </c>
      <c r="F28" s="627">
        <f>F22*Inputs!$C$7</f>
        <v>30.815787381539828</v>
      </c>
      <c r="G28" s="628">
        <f>G22*Inputs!$C$7</f>
        <v>97.31753852314354</v>
      </c>
      <c r="H28" s="627">
        <f>H22*Inputs!$C$7</f>
        <v>97.31753852314354</v>
      </c>
      <c r="I28" s="627">
        <f>I22*Inputs!$C$7</f>
        <v>97.31753852314354</v>
      </c>
      <c r="J28" s="627">
        <f>J22*Inputs!$C$7</f>
        <v>104.97288793310008</v>
      </c>
      <c r="K28" s="626">
        <f>K22*Inputs!$C$7</f>
        <v>98.465840934637029</v>
      </c>
      <c r="L28" s="628">
        <f>L22*Inputs!$C$7</f>
        <v>29.234408749385956</v>
      </c>
      <c r="M28" s="627">
        <f>M22*Inputs!$C$7</f>
        <v>31.623240758669827</v>
      </c>
      <c r="N28" s="627">
        <f>N22*Inputs!$C$7</f>
        <v>32.732797864454163</v>
      </c>
      <c r="O28" s="627">
        <f>O22*Inputs!$C$7</f>
        <v>47.428507583596136</v>
      </c>
      <c r="P28" s="626">
        <f>P22*Inputs!$C$7</f>
        <v>30.826634298797579</v>
      </c>
    </row>
    <row r="29" spans="1:16">
      <c r="A29" s="621" t="s">
        <v>380</v>
      </c>
      <c r="B29" s="147">
        <f>SUM(B26:B28)</f>
        <v>97.153309320329342</v>
      </c>
      <c r="C29" s="97">
        <f t="shared" ref="C29:P29" si="4">SUM(C26:C28)</f>
        <v>259.93777873954048</v>
      </c>
      <c r="D29" s="97">
        <f t="shared" si="4"/>
        <v>739.96535930611094</v>
      </c>
      <c r="E29" s="97">
        <f t="shared" si="4"/>
        <v>1149.1870787641683</v>
      </c>
      <c r="F29" s="97">
        <f t="shared" si="4"/>
        <v>232.07064414964324</v>
      </c>
      <c r="G29" s="147">
        <f t="shared" si="4"/>
        <v>328.3998681484054</v>
      </c>
      <c r="H29" s="97">
        <f t="shared" si="4"/>
        <v>328.3998681484054</v>
      </c>
      <c r="I29" s="97">
        <f t="shared" si="4"/>
        <v>328.3998681484054</v>
      </c>
      <c r="J29" s="97">
        <f t="shared" si="4"/>
        <v>450.31937806056754</v>
      </c>
      <c r="K29" s="99">
        <f t="shared" si="4"/>
        <v>346.68779463522975</v>
      </c>
      <c r="L29" s="147">
        <f t="shared" si="4"/>
        <v>97.180779807241692</v>
      </c>
      <c r="M29" s="97">
        <f t="shared" si="4"/>
        <v>259.94726189903008</v>
      </c>
      <c r="N29" s="97">
        <f t="shared" si="4"/>
        <v>739.86856591684523</v>
      </c>
      <c r="O29" s="97">
        <f t="shared" si="4"/>
        <v>1146.3916079613539</v>
      </c>
      <c r="P29" s="99">
        <f t="shared" si="4"/>
        <v>232.08902170712236</v>
      </c>
    </row>
    <row r="30" spans="1:16">
      <c r="A30" s="519"/>
      <c r="B30" s="53"/>
      <c r="C30" s="87"/>
      <c r="D30" s="87"/>
      <c r="E30" s="87"/>
      <c r="F30" s="87"/>
      <c r="G30" s="53"/>
      <c r="H30" s="87"/>
      <c r="I30" s="87"/>
      <c r="J30" s="87"/>
      <c r="K30" s="376"/>
      <c r="L30" s="53"/>
      <c r="M30" s="87"/>
      <c r="N30" s="87"/>
      <c r="O30" s="87"/>
      <c r="P30" s="376"/>
    </row>
    <row r="31" spans="1:16">
      <c r="A31" s="145" t="s">
        <v>50</v>
      </c>
      <c r="B31" s="178">
        <f>'Distribution O&amp;M Allocations'!$M$20</f>
        <v>27.955629099049062</v>
      </c>
      <c r="C31" s="88">
        <f>'Distribution O&amp;M Allocations'!$M$20</f>
        <v>27.955629099049062</v>
      </c>
      <c r="D31" s="88">
        <f>'Distribution O&amp;M Allocations'!$M$20</f>
        <v>27.955629099049062</v>
      </c>
      <c r="E31" s="88">
        <f>'Distribution O&amp;M Allocations'!$M$20</f>
        <v>27.955629099049062</v>
      </c>
      <c r="F31" s="88">
        <f>'Distribution O&amp;M Allocations'!$M$20</f>
        <v>27.955629099049062</v>
      </c>
      <c r="G31" s="178">
        <f>'Distribution O&amp;M Allocations'!$N$20</f>
        <v>43.456302151651315</v>
      </c>
      <c r="H31" s="88">
        <f>'Distribution O&amp;M Allocations'!$N$20</f>
        <v>43.456302151651315</v>
      </c>
      <c r="I31" s="88">
        <f>'Distribution O&amp;M Allocations'!$N$20</f>
        <v>43.456302151651315</v>
      </c>
      <c r="J31" s="88">
        <f>'Distribution O&amp;M Allocations'!$N$20</f>
        <v>43.456302151651315</v>
      </c>
      <c r="K31" s="374">
        <f>'Distribution O&amp;M Allocations'!$N$20</f>
        <v>43.456302151651315</v>
      </c>
      <c r="L31" s="178">
        <f>'Distribution O&amp;M Allocations'!$N$24</f>
        <v>27.958114455810957</v>
      </c>
      <c r="M31" s="88">
        <f>'Distribution O&amp;M Allocations'!$N$24</f>
        <v>27.958114455810957</v>
      </c>
      <c r="N31" s="88">
        <f>'Distribution O&amp;M Allocations'!$N$24</f>
        <v>27.958114455810957</v>
      </c>
      <c r="O31" s="88">
        <f>'Distribution O&amp;M Allocations'!$N$24</f>
        <v>27.958114455810957</v>
      </c>
      <c r="P31" s="374">
        <f>'Distribution O&amp;M Allocations'!$N$24</f>
        <v>27.958114455810957</v>
      </c>
    </row>
    <row r="32" spans="1:16">
      <c r="A32" s="146"/>
      <c r="B32" s="11"/>
      <c r="C32" s="12"/>
      <c r="D32" s="12"/>
      <c r="E32" s="12"/>
      <c r="F32" s="12"/>
      <c r="G32" s="11"/>
      <c r="H32" s="12"/>
      <c r="I32" s="12"/>
      <c r="J32" s="12"/>
      <c r="K32" s="101"/>
      <c r="L32" s="11"/>
      <c r="M32" s="12"/>
      <c r="N32" s="12"/>
      <c r="O32" s="12"/>
      <c r="P32" s="101"/>
    </row>
    <row r="33" spans="1:16">
      <c r="A33" s="145" t="s">
        <v>61</v>
      </c>
      <c r="B33" s="380">
        <f>'Cust Service Cost Allocations'!$M$76</f>
        <v>52.536506967829752</v>
      </c>
      <c r="C33" s="109">
        <f>'Cust Service Cost Allocations'!$M$76</f>
        <v>52.536506967829752</v>
      </c>
      <c r="D33" s="109">
        <f>'Cust Service Cost Allocations'!$M$76</f>
        <v>52.536506967829752</v>
      </c>
      <c r="E33" s="109">
        <f>'Cust Service Cost Allocations'!$M$76</f>
        <v>52.536506967829752</v>
      </c>
      <c r="F33" s="109">
        <f>'Cust Service Cost Allocations'!$M$76</f>
        <v>52.536506967829752</v>
      </c>
      <c r="G33" s="380">
        <f>'Cust Service Cost Allocations'!$N$76</f>
        <v>52.536506967829744</v>
      </c>
      <c r="H33" s="109">
        <f>'Cust Service Cost Allocations'!$N$76</f>
        <v>52.536506967829744</v>
      </c>
      <c r="I33" s="109">
        <f>'Cust Service Cost Allocations'!$N$76</f>
        <v>52.536506967829744</v>
      </c>
      <c r="J33" s="109">
        <f>'Cust Service Cost Allocations'!$N$76</f>
        <v>52.536506967829744</v>
      </c>
      <c r="K33" s="381">
        <f>'Cust Service Cost Allocations'!$N$76</f>
        <v>52.536506967829744</v>
      </c>
      <c r="L33" s="380">
        <f>'Cust Service Cost Allocations'!$N$76</f>
        <v>52.536506967829744</v>
      </c>
      <c r="M33" s="109">
        <f>'Cust Service Cost Allocations'!$N$76</f>
        <v>52.536506967829744</v>
      </c>
      <c r="N33" s="109">
        <f>'Cust Service Cost Allocations'!$N$76</f>
        <v>52.536506967829744</v>
      </c>
      <c r="O33" s="109">
        <f>'Cust Service Cost Allocations'!$N$76</f>
        <v>52.536506967829744</v>
      </c>
      <c r="P33" s="381">
        <f>'Cust Service Cost Allocations'!$N$76</f>
        <v>52.536506967829744</v>
      </c>
    </row>
    <row r="34" spans="1:16">
      <c r="A34" s="146"/>
      <c r="B34" s="11"/>
      <c r="C34" s="12"/>
      <c r="D34" s="12"/>
      <c r="E34" s="12"/>
      <c r="F34" s="12"/>
      <c r="G34" s="11"/>
      <c r="H34" s="12"/>
      <c r="I34" s="12"/>
      <c r="J34" s="12"/>
      <c r="K34" s="101"/>
      <c r="L34" s="11"/>
      <c r="M34" s="12"/>
      <c r="N34" s="12"/>
      <c r="O34" s="12"/>
      <c r="P34" s="101"/>
    </row>
    <row r="35" spans="1:16" ht="13.5" thickBot="1">
      <c r="A35" s="622" t="s">
        <v>98</v>
      </c>
      <c r="B35" s="377">
        <f t="shared" ref="B35:P35" si="5">B29+B31+B33</f>
        <v>177.64544538720816</v>
      </c>
      <c r="C35" s="378">
        <f t="shared" si="5"/>
        <v>340.42991480641933</v>
      </c>
      <c r="D35" s="378">
        <f t="shared" si="5"/>
        <v>820.45749537298968</v>
      </c>
      <c r="E35" s="378">
        <f t="shared" si="5"/>
        <v>1229.6792148310471</v>
      </c>
      <c r="F35" s="378">
        <f t="shared" si="5"/>
        <v>312.56278021652201</v>
      </c>
      <c r="G35" s="377">
        <f t="shared" si="5"/>
        <v>424.39267726788643</v>
      </c>
      <c r="H35" s="378">
        <f t="shared" si="5"/>
        <v>424.39267726788643</v>
      </c>
      <c r="I35" s="378">
        <f t="shared" si="5"/>
        <v>424.39267726788643</v>
      </c>
      <c r="J35" s="378">
        <f t="shared" si="5"/>
        <v>546.31218718004857</v>
      </c>
      <c r="K35" s="379">
        <f t="shared" si="5"/>
        <v>442.68060375471077</v>
      </c>
      <c r="L35" s="377">
        <f t="shared" si="5"/>
        <v>177.67540123088239</v>
      </c>
      <c r="M35" s="378">
        <f t="shared" si="5"/>
        <v>340.44188332267078</v>
      </c>
      <c r="N35" s="378">
        <f t="shared" si="5"/>
        <v>820.36318734048587</v>
      </c>
      <c r="O35" s="378">
        <f t="shared" si="5"/>
        <v>1226.8862293849947</v>
      </c>
      <c r="P35" s="379">
        <f t="shared" si="5"/>
        <v>312.58364313076305</v>
      </c>
    </row>
    <row r="36" spans="1:16">
      <c r="A36" s="113"/>
      <c r="B36" s="113"/>
      <c r="C36" s="113"/>
      <c r="D36" s="113"/>
      <c r="E36" s="113"/>
      <c r="F36" s="113"/>
      <c r="G36" s="113"/>
      <c r="H36" s="113"/>
      <c r="I36" s="113"/>
      <c r="J36" s="113"/>
      <c r="K36" s="113"/>
    </row>
    <row r="39" spans="1:16">
      <c r="A39" t="s">
        <v>3</v>
      </c>
    </row>
    <row r="47" spans="1:16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</row>
    <row r="59" spans="1:11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</row>
  </sheetData>
  <mergeCells count="5">
    <mergeCell ref="A1:P1"/>
    <mergeCell ref="B2:P2"/>
    <mergeCell ref="B3:F3"/>
    <mergeCell ref="G3:K3"/>
    <mergeCell ref="L3:P3"/>
  </mergeCells>
  <printOptions horizontalCentered="1"/>
  <pageMargins left="0.75" right="0.75" top="1" bottom="1" header="0.5" footer="0.5"/>
  <pageSetup scale="45" orientation="portrait" r:id="rId1"/>
  <headerFooter alignWithMargins="0">
    <oddFooter>&amp;L&amp;F
&amp;A&amp;R&amp;P of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79">
    <tabColor rgb="FF00642D"/>
    <pageSetUpPr fitToPage="1"/>
  </sheetPr>
  <dimension ref="A1:P61"/>
  <sheetViews>
    <sheetView zoomScaleNormal="100" workbookViewId="0">
      <selection activeCell="G35" sqref="G35"/>
    </sheetView>
  </sheetViews>
  <sheetFormatPr defaultRowHeight="12.75"/>
  <cols>
    <col min="1" max="1" width="41.140625" customWidth="1"/>
    <col min="2" max="11" width="11.140625" customWidth="1"/>
    <col min="12" max="12" width="9.140625" bestFit="1" customWidth="1"/>
    <col min="13" max="15" width="10.28515625" bestFit="1" customWidth="1"/>
    <col min="16" max="16" width="9.140625" bestFit="1" customWidth="1"/>
  </cols>
  <sheetData>
    <row r="1" spans="1:16" ht="18.75" thickBot="1">
      <c r="A1" s="826" t="s">
        <v>434</v>
      </c>
      <c r="B1" s="826"/>
      <c r="C1" s="826"/>
      <c r="D1" s="826"/>
      <c r="E1" s="826"/>
      <c r="F1" s="826"/>
      <c r="G1" s="826"/>
      <c r="H1" s="826"/>
      <c r="I1" s="826"/>
      <c r="J1" s="826"/>
      <c r="K1" s="826"/>
      <c r="L1" s="826"/>
      <c r="M1" s="826"/>
      <c r="N1" s="826"/>
      <c r="O1" s="826"/>
      <c r="P1" s="826"/>
    </row>
    <row r="2" spans="1:16" ht="13.5" thickBot="1">
      <c r="A2" s="131"/>
      <c r="B2" s="827" t="s">
        <v>406</v>
      </c>
      <c r="C2" s="828"/>
      <c r="D2" s="828"/>
      <c r="E2" s="828"/>
      <c r="F2" s="828"/>
      <c r="G2" s="828"/>
      <c r="H2" s="828"/>
      <c r="I2" s="828"/>
      <c r="J2" s="828"/>
      <c r="K2" s="828"/>
      <c r="L2" s="828"/>
      <c r="M2" s="828"/>
      <c r="N2" s="828"/>
      <c r="O2" s="828"/>
      <c r="P2" s="829"/>
    </row>
    <row r="3" spans="1:16" ht="13.5" thickBot="1">
      <c r="A3" s="196"/>
      <c r="B3" s="827" t="s">
        <v>0</v>
      </c>
      <c r="C3" s="828"/>
      <c r="D3" s="828"/>
      <c r="E3" s="828"/>
      <c r="F3" s="829"/>
      <c r="G3" s="827" t="s">
        <v>1</v>
      </c>
      <c r="H3" s="828"/>
      <c r="I3" s="828"/>
      <c r="J3" s="828"/>
      <c r="K3" s="829"/>
      <c r="L3" s="827" t="s">
        <v>414</v>
      </c>
      <c r="M3" s="828"/>
      <c r="N3" s="828"/>
      <c r="O3" s="828"/>
      <c r="P3" s="829"/>
    </row>
    <row r="4" spans="1:16" ht="13.5" thickBot="1">
      <c r="A4" s="102" t="s">
        <v>47</v>
      </c>
      <c r="B4" s="668" t="s">
        <v>103</v>
      </c>
      <c r="C4" s="669" t="s">
        <v>128</v>
      </c>
      <c r="D4" s="669" t="s">
        <v>129</v>
      </c>
      <c r="E4" s="669" t="s">
        <v>130</v>
      </c>
      <c r="F4" s="670" t="s">
        <v>167</v>
      </c>
      <c r="G4" s="483" t="s">
        <v>103</v>
      </c>
      <c r="H4" s="484" t="s">
        <v>128</v>
      </c>
      <c r="I4" s="484" t="s">
        <v>129</v>
      </c>
      <c r="J4" s="484" t="s">
        <v>130</v>
      </c>
      <c r="K4" s="485" t="s">
        <v>168</v>
      </c>
      <c r="L4" s="483" t="s">
        <v>103</v>
      </c>
      <c r="M4" s="484" t="s">
        <v>128</v>
      </c>
      <c r="N4" s="484" t="s">
        <v>129</v>
      </c>
      <c r="O4" s="484" t="s">
        <v>130</v>
      </c>
      <c r="P4" s="485" t="s">
        <v>2</v>
      </c>
    </row>
    <row r="5" spans="1:16">
      <c r="A5" s="114"/>
      <c r="B5" s="39"/>
      <c r="C5" s="176"/>
      <c r="D5" s="176"/>
      <c r="E5" s="176"/>
      <c r="F5" s="373"/>
      <c r="G5" s="176"/>
      <c r="H5" s="176"/>
      <c r="I5" s="176"/>
      <c r="J5" s="176"/>
      <c r="K5" s="176"/>
      <c r="L5" s="39"/>
      <c r="M5" s="176"/>
      <c r="N5" s="176"/>
      <c r="O5" s="176"/>
      <c r="P5" s="373"/>
    </row>
    <row r="6" spans="1:16">
      <c r="A6" s="40"/>
      <c r="B6" s="40"/>
      <c r="C6" s="84"/>
      <c r="D6" s="84"/>
      <c r="E6" s="84"/>
      <c r="F6" s="161"/>
      <c r="G6" s="84"/>
      <c r="H6" s="84"/>
      <c r="I6" s="84"/>
      <c r="J6" s="84"/>
      <c r="K6" s="84"/>
      <c r="L6" s="40"/>
      <c r="M6" s="84"/>
      <c r="N6" s="84"/>
      <c r="O6" s="84"/>
      <c r="P6" s="161"/>
    </row>
    <row r="7" spans="1:16">
      <c r="A7" s="40" t="s">
        <v>49</v>
      </c>
      <c r="B7" s="40"/>
      <c r="C7" s="84"/>
      <c r="D7" s="84"/>
      <c r="E7" s="84"/>
      <c r="F7" s="161"/>
      <c r="G7" s="84"/>
      <c r="H7" s="84"/>
      <c r="I7" s="84"/>
      <c r="J7" s="84"/>
      <c r="K7" s="84"/>
      <c r="L7" s="40"/>
      <c r="M7" s="84"/>
      <c r="N7" s="84"/>
      <c r="O7" s="84"/>
      <c r="P7" s="161"/>
    </row>
    <row r="8" spans="1:16">
      <c r="A8" s="41"/>
      <c r="B8" s="41"/>
      <c r="C8" s="85"/>
      <c r="D8" s="85"/>
      <c r="E8" s="85"/>
      <c r="F8" s="162"/>
      <c r="G8" s="85"/>
      <c r="H8" s="85"/>
      <c r="I8" s="85"/>
      <c r="J8" s="85"/>
      <c r="K8" s="85"/>
      <c r="L8" s="41"/>
      <c r="M8" s="85"/>
      <c r="N8" s="85"/>
      <c r="O8" s="85"/>
      <c r="P8" s="162"/>
    </row>
    <row r="9" spans="1:16">
      <c r="A9" s="40" t="s">
        <v>53</v>
      </c>
      <c r="B9" s="139">
        <f>'Sch TOU-A TSM Summary'!B9*Inputs!$C$12</f>
        <v>590.19302776879874</v>
      </c>
      <c r="C9" s="37">
        <f>'Sch TOU-A TSM Summary'!C9*Inputs!$C$12</f>
        <v>2448.7676388274313</v>
      </c>
      <c r="D9" s="37">
        <f>'Sch TOU-A TSM Summary'!D9*Inputs!$C$12</f>
        <v>8437.7805650695936</v>
      </c>
      <c r="E9" s="37">
        <f>'Sch TOU-A TSM Summary'!E9*Inputs!$C$12</f>
        <v>12821.346085076731</v>
      </c>
      <c r="F9" s="38">
        <f>'Sch TOU-A TSM Summary'!F9*Inputs!$C$12</f>
        <v>2166.5678327927285</v>
      </c>
      <c r="G9" s="37">
        <f>'Sch TOU-A TSM Summary'!G9*Inputs!$C$12</f>
        <v>0</v>
      </c>
      <c r="H9" s="37">
        <f>'Sch TOU-A TSM Summary'!H9*Inputs!$C$12</f>
        <v>0</v>
      </c>
      <c r="I9" s="37">
        <f>'Sch TOU-A TSM Summary'!I9*Inputs!$C$12</f>
        <v>0</v>
      </c>
      <c r="J9" s="37">
        <f>'Sch TOU-A TSM Summary'!J9*Inputs!$C$12</f>
        <v>0</v>
      </c>
      <c r="K9" s="37">
        <f>'Sch TOU-A TSM Summary'!K9*Inputs!$C$12</f>
        <v>0</v>
      </c>
      <c r="L9" s="139">
        <f>'Sch TOU-A TSM Summary'!L9*Inputs!$C$12</f>
        <v>590.12291693157272</v>
      </c>
      <c r="M9" s="37">
        <f>'Sch TOU-A TSM Summary'!M9*Inputs!$C$12</f>
        <v>2448.428443014499</v>
      </c>
      <c r="N9" s="37">
        <f>'Sch TOU-A TSM Summary'!N9*Inputs!$C$12</f>
        <v>8435.7961387842988</v>
      </c>
      <c r="O9" s="37">
        <f>'Sch TOU-A TSM Summary'!O9*Inputs!$C$12</f>
        <v>12770.060700736423</v>
      </c>
      <c r="P9" s="38">
        <f>'Sch TOU-A TSM Summary'!P9*Inputs!$C$12</f>
        <v>2166.220448263356</v>
      </c>
    </row>
    <row r="10" spans="1:16">
      <c r="A10" s="40" t="s">
        <v>51</v>
      </c>
      <c r="B10" s="139">
        <f>'Sch TOU-A TSM Summary'!B10*Inputs!$C$12</f>
        <v>327.27189303435074</v>
      </c>
      <c r="C10" s="37">
        <f>'Sch TOU-A TSM Summary'!C10*Inputs!$C$12</f>
        <v>571.36960990303135</v>
      </c>
      <c r="D10" s="37">
        <f>'Sch TOU-A TSM Summary'!D10*Inputs!$C$12</f>
        <v>800.40676685506776</v>
      </c>
      <c r="E10" s="37">
        <f>'Sch TOU-A TSM Summary'!E10*Inputs!$C$12</f>
        <v>1617.7054862910165</v>
      </c>
      <c r="F10" s="38">
        <f>'Sch TOU-A TSM Summary'!F10*Inputs!$C$12</f>
        <v>494.40646091465709</v>
      </c>
      <c r="G10" s="37">
        <f>'Sch TOU-A TSM Summary'!G10*Inputs!$C$12</f>
        <v>3396.4220443713425</v>
      </c>
      <c r="H10" s="37">
        <f>'Sch TOU-A TSM Summary'!H10*Inputs!$C$12</f>
        <v>3396.4220443713425</v>
      </c>
      <c r="I10" s="37">
        <f>'Sch TOU-A TSM Summary'!I10*Inputs!$C$12</f>
        <v>3396.4220443713425</v>
      </c>
      <c r="J10" s="37">
        <f>'Sch TOU-A TSM Summary'!J10*Inputs!$C$12</f>
        <v>5075.863801084749</v>
      </c>
      <c r="K10" s="37">
        <f>'Sch TOU-A TSM Summary'!K10*Inputs!$C$12</f>
        <v>3648.3383078783536</v>
      </c>
      <c r="L10" s="139">
        <f>'Sch TOU-A TSM Summary'!L10*Inputs!$C$12</f>
        <v>327.63648678005478</v>
      </c>
      <c r="M10" s="37">
        <f>'Sch TOU-A TSM Summary'!M10*Inputs!$C$12</f>
        <v>571.76092753639557</v>
      </c>
      <c r="N10" s="37">
        <f>'Sch TOU-A TSM Summary'!N10*Inputs!$C$12</f>
        <v>801.01730666633682</v>
      </c>
      <c r="O10" s="37">
        <f>'Sch TOU-A TSM Summary'!O10*Inputs!$C$12</f>
        <v>1631.5381195501916</v>
      </c>
      <c r="P10" s="38">
        <f>'Sch TOU-A TSM Summary'!P10*Inputs!$C$12</f>
        <v>494.91215804250527</v>
      </c>
    </row>
    <row r="11" spans="1:16">
      <c r="A11" s="40" t="s">
        <v>52</v>
      </c>
      <c r="B11" s="139">
        <f>'Sch TOU-A TSM Summary'!B11*Inputs!$C$12</f>
        <v>282.11470269140472</v>
      </c>
      <c r="C11" s="37">
        <f>'Sch TOU-A TSM Summary'!C11*Inputs!$C$12</f>
        <v>305.16375766153845</v>
      </c>
      <c r="D11" s="37">
        <f>'Sch TOU-A TSM Summary'!D11*Inputs!$C$12</f>
        <v>315.81524531503169</v>
      </c>
      <c r="E11" s="37">
        <f>'Sch TOU-A TSM Summary'!E11*Inputs!$C$12</f>
        <v>455.58531046160107</v>
      </c>
      <c r="F11" s="38">
        <f>'Sch TOU-A TSM Summary'!F11*Inputs!$C$12</f>
        <v>297.45745272768835</v>
      </c>
      <c r="G11" s="37">
        <f>'Sch TOU-A TSM Summary'!G11*Inputs!$C$12</f>
        <v>939.38301028660817</v>
      </c>
      <c r="H11" s="37">
        <f>'Sch TOU-A TSM Summary'!H11*Inputs!$C$12</f>
        <v>939.38301028660817</v>
      </c>
      <c r="I11" s="37">
        <f>'Sch TOU-A TSM Summary'!I11*Inputs!$C$12</f>
        <v>939.38301028660817</v>
      </c>
      <c r="J11" s="37">
        <f>'Sch TOU-A TSM Summary'!J11*Inputs!$C$12</f>
        <v>1013.2782740042636</v>
      </c>
      <c r="K11" s="37">
        <f>'Sch TOU-A TSM Summary'!K11*Inputs!$C$12</f>
        <v>950.46729984425656</v>
      </c>
      <c r="L11" s="139">
        <f>'Sch TOU-A TSM Summary'!L11*Inputs!$C$12</f>
        <v>282.1927816065384</v>
      </c>
      <c r="M11" s="37">
        <f>'Sch TOU-A TSM Summary'!M11*Inputs!$C$12</f>
        <v>305.25160777502424</v>
      </c>
      <c r="N11" s="37">
        <f>'Sch TOU-A TSM Summary'!N11*Inputs!$C$12</f>
        <v>315.96189812899485</v>
      </c>
      <c r="O11" s="37">
        <f>'Sch TOU-A TSM Summary'!O11*Inputs!$C$12</f>
        <v>457.81608231577167</v>
      </c>
      <c r="P11" s="38">
        <f>'Sch TOU-A TSM Summary'!P11*Inputs!$C$12</f>
        <v>297.56215543534563</v>
      </c>
    </row>
    <row r="12" spans="1:16">
      <c r="A12" s="42"/>
      <c r="B12" s="42"/>
      <c r="C12" s="86"/>
      <c r="D12" s="86"/>
      <c r="E12" s="86"/>
      <c r="F12" s="375"/>
      <c r="G12" s="86"/>
      <c r="H12" s="86"/>
      <c r="I12" s="86"/>
      <c r="J12" s="86"/>
      <c r="K12" s="86"/>
      <c r="L12" s="42"/>
      <c r="M12" s="86"/>
      <c r="N12" s="86"/>
      <c r="O12" s="86"/>
      <c r="P12" s="375"/>
    </row>
    <row r="13" spans="1:16">
      <c r="A13" s="40" t="s">
        <v>35</v>
      </c>
      <c r="B13" s="142">
        <f t="shared" ref="B13:P13" si="0">SUM(B9:B11)</f>
        <v>1199.5796234945542</v>
      </c>
      <c r="C13" s="34">
        <f t="shared" si="0"/>
        <v>3325.301006392001</v>
      </c>
      <c r="D13" s="34">
        <f t="shared" si="0"/>
        <v>9554.002577239693</v>
      </c>
      <c r="E13" s="34">
        <f t="shared" si="0"/>
        <v>14894.63688182935</v>
      </c>
      <c r="F13" s="44">
        <f t="shared" si="0"/>
        <v>2958.4317464350738</v>
      </c>
      <c r="G13" s="34">
        <f t="shared" ref="G13:K13" si="1">SUM(G9:G11)</f>
        <v>4335.8050546579507</v>
      </c>
      <c r="H13" s="34">
        <f t="shared" si="1"/>
        <v>4335.8050546579507</v>
      </c>
      <c r="I13" s="34">
        <f t="shared" si="1"/>
        <v>4335.8050546579507</v>
      </c>
      <c r="J13" s="34">
        <f t="shared" si="1"/>
        <v>6089.1420750890129</v>
      </c>
      <c r="K13" s="34">
        <f t="shared" si="1"/>
        <v>4598.8056077226101</v>
      </c>
      <c r="L13" s="142">
        <f t="shared" si="0"/>
        <v>1199.9521853181659</v>
      </c>
      <c r="M13" s="34">
        <f t="shared" si="0"/>
        <v>3325.4409783259189</v>
      </c>
      <c r="N13" s="34">
        <f t="shared" si="0"/>
        <v>9552.7753435796312</v>
      </c>
      <c r="O13" s="34">
        <f t="shared" si="0"/>
        <v>14859.414902602388</v>
      </c>
      <c r="P13" s="44">
        <f t="shared" si="0"/>
        <v>2958.694761741207</v>
      </c>
    </row>
    <row r="14" spans="1:16">
      <c r="A14" s="42"/>
      <c r="B14" s="42"/>
      <c r="C14" s="86"/>
      <c r="D14" s="86"/>
      <c r="E14" s="86"/>
      <c r="F14" s="375"/>
      <c r="G14" s="86"/>
      <c r="H14" s="86"/>
      <c r="I14" s="86"/>
      <c r="J14" s="86"/>
      <c r="K14" s="86"/>
      <c r="L14" s="42"/>
      <c r="M14" s="86"/>
      <c r="N14" s="86"/>
      <c r="O14" s="86"/>
      <c r="P14" s="375"/>
    </row>
    <row r="15" spans="1:16">
      <c r="A15" s="40" t="s">
        <v>65</v>
      </c>
      <c r="B15" s="142"/>
      <c r="C15" s="34"/>
      <c r="D15" s="34"/>
      <c r="E15" s="34"/>
      <c r="F15" s="44"/>
      <c r="G15" s="34"/>
      <c r="H15" s="34"/>
      <c r="I15" s="34"/>
      <c r="J15" s="34"/>
      <c r="K15" s="34"/>
      <c r="L15" s="142"/>
      <c r="M15" s="34"/>
      <c r="N15" s="34"/>
      <c r="O15" s="34"/>
      <c r="P15" s="44"/>
    </row>
    <row r="16" spans="1:16">
      <c r="A16" s="53">
        <f>Inputs!C3</f>
        <v>2.7723662892949787E-2</v>
      </c>
      <c r="B16" s="142"/>
      <c r="C16" s="34"/>
      <c r="D16" s="34"/>
      <c r="E16" s="34"/>
      <c r="F16" s="44"/>
      <c r="G16" s="34"/>
      <c r="H16" s="34"/>
      <c r="I16" s="34"/>
      <c r="J16" s="34"/>
      <c r="K16" s="34"/>
      <c r="L16" s="142"/>
      <c r="M16" s="34"/>
      <c r="N16" s="34"/>
      <c r="O16" s="34"/>
      <c r="P16" s="44"/>
    </row>
    <row r="17" spans="1:16">
      <c r="A17" s="40" t="s">
        <v>64</v>
      </c>
      <c r="B17" s="142"/>
      <c r="C17" s="34"/>
      <c r="D17" s="34"/>
      <c r="E17" s="34"/>
      <c r="F17" s="44"/>
      <c r="G17" s="34"/>
      <c r="H17" s="34"/>
      <c r="I17" s="34"/>
      <c r="J17" s="34"/>
      <c r="K17" s="34"/>
      <c r="L17" s="142"/>
      <c r="M17" s="34"/>
      <c r="N17" s="34"/>
      <c r="O17" s="34"/>
      <c r="P17" s="44"/>
    </row>
    <row r="18" spans="1:16">
      <c r="A18" s="53">
        <f>Inputs!C4</f>
        <v>1.5023E-2</v>
      </c>
      <c r="B18" s="142"/>
      <c r="C18" s="34"/>
      <c r="D18" s="34"/>
      <c r="E18" s="34"/>
      <c r="F18" s="44"/>
      <c r="G18" s="34"/>
      <c r="H18" s="34"/>
      <c r="I18" s="34"/>
      <c r="J18" s="34"/>
      <c r="K18" s="34"/>
      <c r="L18" s="142"/>
      <c r="M18" s="34"/>
      <c r="N18" s="34"/>
      <c r="O18" s="34"/>
      <c r="P18" s="44"/>
    </row>
    <row r="19" spans="1:16">
      <c r="A19" s="53"/>
      <c r="B19" s="142"/>
      <c r="C19" s="34"/>
      <c r="D19" s="34"/>
      <c r="E19" s="34"/>
      <c r="F19" s="44"/>
      <c r="G19" s="34"/>
      <c r="H19" s="34"/>
      <c r="I19" s="34"/>
      <c r="J19" s="34"/>
      <c r="K19" s="34"/>
      <c r="L19" s="142"/>
      <c r="M19" s="34"/>
      <c r="N19" s="34"/>
      <c r="O19" s="34"/>
      <c r="P19" s="44"/>
    </row>
    <row r="20" spans="1:16">
      <c r="A20" s="122" t="s">
        <v>111</v>
      </c>
      <c r="B20" s="142">
        <f>(B9*(1+$A$16)*(1+$A$18))</f>
        <v>615.66762118994393</v>
      </c>
      <c r="C20" s="34">
        <f t="shared" ref="C20:P20" si="2">(C9*(1+$A$16)*(1+$A$18))</f>
        <v>2554.4641771579786</v>
      </c>
      <c r="D20" s="34">
        <f t="shared" si="2"/>
        <v>8801.9817995107969</v>
      </c>
      <c r="E20" s="34">
        <f t="shared" si="2"/>
        <v>13374.755839617359</v>
      </c>
      <c r="F20" s="44">
        <f t="shared" si="2"/>
        <v>2260.0837370188074</v>
      </c>
      <c r="G20" s="34">
        <f t="shared" si="2"/>
        <v>0</v>
      </c>
      <c r="H20" s="34">
        <f t="shared" si="2"/>
        <v>0</v>
      </c>
      <c r="I20" s="34">
        <f t="shared" si="2"/>
        <v>0</v>
      </c>
      <c r="J20" s="34">
        <f t="shared" si="2"/>
        <v>0</v>
      </c>
      <c r="K20" s="34">
        <f t="shared" si="2"/>
        <v>0</v>
      </c>
      <c r="L20" s="142">
        <f t="shared" si="2"/>
        <v>615.59448414774977</v>
      </c>
      <c r="M20" s="34">
        <f t="shared" si="2"/>
        <v>2554.1103405834338</v>
      </c>
      <c r="N20" s="34">
        <f t="shared" si="2"/>
        <v>8799.9117191252117</v>
      </c>
      <c r="O20" s="34">
        <f t="shared" si="2"/>
        <v>13321.256816258889</v>
      </c>
      <c r="P20" s="44">
        <f t="shared" si="2"/>
        <v>2259.7213582769818</v>
      </c>
    </row>
    <row r="21" spans="1:16">
      <c r="A21" s="122" t="s">
        <v>51</v>
      </c>
      <c r="B21" s="142">
        <f t="shared" ref="B21:P22" si="3">(B10*(1+$A$16)*(1+$A$18))</f>
        <v>341.39798063781961</v>
      </c>
      <c r="C21" s="34">
        <f t="shared" si="3"/>
        <v>596.03172521216027</v>
      </c>
      <c r="D21" s="34">
        <f t="shared" si="3"/>
        <v>834.95484858054988</v>
      </c>
      <c r="E21" s="34">
        <f t="shared" si="3"/>
        <v>1687.5307597176002</v>
      </c>
      <c r="F21" s="44">
        <f t="shared" si="3"/>
        <v>515.74660385772495</v>
      </c>
      <c r="G21" s="34">
        <f t="shared" si="3"/>
        <v>3543.0223371502479</v>
      </c>
      <c r="H21" s="34">
        <f t="shared" si="3"/>
        <v>3543.0223371502479</v>
      </c>
      <c r="I21" s="34">
        <f t="shared" si="3"/>
        <v>3543.0223371502479</v>
      </c>
      <c r="J21" s="34">
        <f t="shared" si="3"/>
        <v>5294.9540995292718</v>
      </c>
      <c r="K21" s="34">
        <f t="shared" si="3"/>
        <v>3805.8121015071019</v>
      </c>
      <c r="L21" s="142">
        <f t="shared" si="3"/>
        <v>341.77831140005674</v>
      </c>
      <c r="M21" s="34">
        <f t="shared" si="3"/>
        <v>596.43993334937568</v>
      </c>
      <c r="N21" s="34">
        <f t="shared" si="3"/>
        <v>835.59174121661988</v>
      </c>
      <c r="O21" s="34">
        <f t="shared" si="3"/>
        <v>1701.960453076847</v>
      </c>
      <c r="P21" s="44">
        <f t="shared" si="3"/>
        <v>516.2741284693285</v>
      </c>
    </row>
    <row r="22" spans="1:16">
      <c r="A22" s="122" t="s">
        <v>52</v>
      </c>
      <c r="B22" s="142">
        <f t="shared" si="3"/>
        <v>294.29166346703443</v>
      </c>
      <c r="C22" s="34">
        <f t="shared" si="3"/>
        <v>318.33558838052471</v>
      </c>
      <c r="D22" s="34">
        <f t="shared" si="3"/>
        <v>329.44682785170528</v>
      </c>
      <c r="E22" s="34">
        <f t="shared" si="3"/>
        <v>475.24981005172828</v>
      </c>
      <c r="F22" s="44">
        <f t="shared" si="3"/>
        <v>310.29665500863393</v>
      </c>
      <c r="G22" s="34">
        <f t="shared" si="3"/>
        <v>979.92974521543431</v>
      </c>
      <c r="H22" s="34">
        <f t="shared" si="3"/>
        <v>979.92974521543431</v>
      </c>
      <c r="I22" s="34">
        <f t="shared" si="3"/>
        <v>979.92974521543431</v>
      </c>
      <c r="J22" s="34">
        <f t="shared" si="3"/>
        <v>1057.0145616902141</v>
      </c>
      <c r="K22" s="34">
        <f t="shared" si="3"/>
        <v>991.49246768665137</v>
      </c>
      <c r="L22" s="142">
        <f t="shared" si="3"/>
        <v>294.37311251452172</v>
      </c>
      <c r="M22" s="34">
        <f t="shared" si="3"/>
        <v>318.42723038211784</v>
      </c>
      <c r="N22" s="34">
        <f t="shared" si="3"/>
        <v>329.59981066387917</v>
      </c>
      <c r="O22" s="34">
        <f t="shared" si="3"/>
        <v>477.57686905828223</v>
      </c>
      <c r="P22" s="44">
        <f t="shared" si="3"/>
        <v>310.40587701554114</v>
      </c>
    </row>
    <row r="23" spans="1:16">
      <c r="A23" s="53"/>
      <c r="B23" s="142"/>
      <c r="C23" s="34"/>
      <c r="D23" s="34"/>
      <c r="E23" s="34"/>
      <c r="F23" s="44"/>
      <c r="G23" s="34"/>
      <c r="H23" s="34"/>
      <c r="I23" s="34"/>
      <c r="J23" s="34"/>
      <c r="K23" s="34"/>
      <c r="L23" s="142"/>
      <c r="M23" s="34"/>
      <c r="N23" s="34"/>
      <c r="O23" s="34"/>
      <c r="P23" s="44"/>
    </row>
    <row r="24" spans="1:16">
      <c r="A24" s="40" t="s">
        <v>35</v>
      </c>
      <c r="B24" s="142">
        <f>SUM(B20:B22)</f>
        <v>1251.357265294798</v>
      </c>
      <c r="C24" s="34">
        <f>SUM(C20:C22)</f>
        <v>3468.8314907506638</v>
      </c>
      <c r="D24" s="34">
        <f t="shared" ref="D24:P24" si="4">SUM(D20:D22)</f>
        <v>9966.383475943052</v>
      </c>
      <c r="E24" s="34">
        <f t="shared" si="4"/>
        <v>15537.536409386687</v>
      </c>
      <c r="F24" s="44">
        <f t="shared" si="4"/>
        <v>3086.1269958851663</v>
      </c>
      <c r="G24" s="34">
        <f>SUM(G20:G22)</f>
        <v>4522.9520823656821</v>
      </c>
      <c r="H24" s="34">
        <f>SUM(H20:H22)</f>
        <v>4522.9520823656821</v>
      </c>
      <c r="I24" s="34">
        <f t="shared" ref="I24:K24" si="5">SUM(I20:I22)</f>
        <v>4522.9520823656821</v>
      </c>
      <c r="J24" s="34">
        <f t="shared" si="5"/>
        <v>6351.9686612194855</v>
      </c>
      <c r="K24" s="34">
        <f t="shared" si="5"/>
        <v>4797.3045691937532</v>
      </c>
      <c r="L24" s="142">
        <f t="shared" si="4"/>
        <v>1251.7459080623282</v>
      </c>
      <c r="M24" s="34">
        <f t="shared" si="4"/>
        <v>3468.9775043149275</v>
      </c>
      <c r="N24" s="34">
        <f t="shared" si="4"/>
        <v>9965.1032710057116</v>
      </c>
      <c r="O24" s="34">
        <f t="shared" si="4"/>
        <v>15500.794138394018</v>
      </c>
      <c r="P24" s="44">
        <f t="shared" si="4"/>
        <v>3086.4013637618514</v>
      </c>
    </row>
    <row r="25" spans="1:16">
      <c r="A25" s="40"/>
      <c r="B25" s="142"/>
      <c r="C25" s="34"/>
      <c r="D25" s="34"/>
      <c r="E25" s="34"/>
      <c r="F25" s="44"/>
      <c r="G25" s="34"/>
      <c r="H25" s="34"/>
      <c r="I25" s="34"/>
      <c r="J25" s="34"/>
      <c r="K25" s="34"/>
      <c r="L25" s="142"/>
      <c r="M25" s="34"/>
      <c r="N25" s="34"/>
      <c r="O25" s="34"/>
      <c r="P25" s="44"/>
    </row>
    <row r="26" spans="1:16">
      <c r="A26" s="805" t="str">
        <f>'Resid TSM Sum by Rate Schedule'!A25</f>
        <v>Annualized Transformer Cost at 8.05%</v>
      </c>
      <c r="B26" s="147">
        <f>B20*Inputs!$C$5</f>
        <v>49.548106718566451</v>
      </c>
      <c r="C26" s="97">
        <f>C20*Inputs!$C$5</f>
        <v>205.57986046748741</v>
      </c>
      <c r="D26" s="97">
        <f>D20*Inputs!$C$5</f>
        <v>708.37172286909924</v>
      </c>
      <c r="E26" s="97">
        <f>E20*Inputs!$C$5</f>
        <v>1076.3824616849201</v>
      </c>
      <c r="F26" s="99">
        <f>F20*Inputs!$C$5</f>
        <v>181.88851636905511</v>
      </c>
      <c r="G26" s="97">
        <f>G20*Inputs!$C$5</f>
        <v>0</v>
      </c>
      <c r="H26" s="97">
        <f>H20*Inputs!$C$5</f>
        <v>0</v>
      </c>
      <c r="I26" s="97">
        <f>I20*Inputs!$C$5</f>
        <v>0</v>
      </c>
      <c r="J26" s="97">
        <f>J20*Inputs!$C$5</f>
        <v>0</v>
      </c>
      <c r="K26" s="97">
        <f>K20*Inputs!$C$5</f>
        <v>0</v>
      </c>
      <c r="L26" s="147">
        <f>L20*Inputs!$C$5</f>
        <v>49.54222074722901</v>
      </c>
      <c r="M26" s="97">
        <f>M20*Inputs!$C$5</f>
        <v>205.5513841732126</v>
      </c>
      <c r="N26" s="97">
        <f>N20*Inputs!$C$5</f>
        <v>708.20512556833046</v>
      </c>
      <c r="O26" s="97">
        <f>O20*Inputs!$C$5</f>
        <v>1072.0769318381804</v>
      </c>
      <c r="P26" s="99">
        <f>P20*Inputs!$C$5</f>
        <v>181.85935261258243</v>
      </c>
    </row>
    <row r="27" spans="1:16">
      <c r="A27" s="805" t="str">
        <f>'Resid TSM Sum by Rate Schedule'!A26</f>
        <v>Annualized Services Cost at 7.08%</v>
      </c>
      <c r="B27" s="147">
        <f>B21*Inputs!$C$6</f>
        <v>24.162462543628852</v>
      </c>
      <c r="C27" s="97">
        <f>C21*Inputs!$C$6</f>
        <v>42.184181079066164</v>
      </c>
      <c r="D27" s="97">
        <f>D21*Inputs!$C$6</f>
        <v>59.093979456930406</v>
      </c>
      <c r="E27" s="97">
        <f>E21*Inputs!$C$6</f>
        <v>119.43509067253419</v>
      </c>
      <c r="F27" s="99">
        <f>F21*Inputs!$C$6</f>
        <v>36.501996802776567</v>
      </c>
      <c r="G27" s="97">
        <f>G21*Inputs!$C$6</f>
        <v>250.75761828671364</v>
      </c>
      <c r="H27" s="97">
        <f>H21*Inputs!$C$6</f>
        <v>250.75761828671364</v>
      </c>
      <c r="I27" s="97">
        <f>I21*Inputs!$C$6</f>
        <v>250.75761828671364</v>
      </c>
      <c r="J27" s="97">
        <f>J21*Inputs!$C$6</f>
        <v>374.75069378291789</v>
      </c>
      <c r="K27" s="97">
        <f>K21*Inputs!$C$6</f>
        <v>269.3565796111443</v>
      </c>
      <c r="L27" s="147">
        <f>L21*Inputs!$C$6</f>
        <v>24.189380476123873</v>
      </c>
      <c r="M27" s="97">
        <f>M21*Inputs!$C$6</f>
        <v>42.213072034446292</v>
      </c>
      <c r="N27" s="97">
        <f>N21*Inputs!$C$6</f>
        <v>59.139055571424713</v>
      </c>
      <c r="O27" s="97">
        <f>O21*Inputs!$C$6</f>
        <v>120.45635308497573</v>
      </c>
      <c r="P27" s="99">
        <f>P21*Inputs!$C$6</f>
        <v>36.539332388783549</v>
      </c>
    </row>
    <row r="28" spans="1:16" ht="15">
      <c r="A28" s="805" t="str">
        <f>'Resid TSM Sum by Rate Schedule'!A27</f>
        <v>Annualized Meter Cost at 10.78%</v>
      </c>
      <c r="B28" s="628">
        <f>B22*Inputs!$C$7</f>
        <v>31.714767644114477</v>
      </c>
      <c r="C28" s="627">
        <f>C22*Inputs!$C$7</f>
        <v>34.305896060394936</v>
      </c>
      <c r="D28" s="627">
        <f>D22*Inputs!$C$7</f>
        <v>35.503314886042638</v>
      </c>
      <c r="E28" s="627">
        <f>E22*Inputs!$C$7</f>
        <v>51.215984581868618</v>
      </c>
      <c r="F28" s="626">
        <f>F22*Inputs!$C$7</f>
        <v>33.439568754373262</v>
      </c>
      <c r="G28" s="627">
        <f>G22*Inputs!$C$7</f>
        <v>105.60354925087805</v>
      </c>
      <c r="H28" s="627">
        <f>H22*Inputs!$C$7</f>
        <v>105.60354925087805</v>
      </c>
      <c r="I28" s="627">
        <f>I22*Inputs!$C$7</f>
        <v>105.60354925087805</v>
      </c>
      <c r="J28" s="627">
        <f>J22*Inputs!$C$7</f>
        <v>113.9107062208909</v>
      </c>
      <c r="K28" s="627">
        <f>K22*Inputs!$C$7</f>
        <v>106.84962279637999</v>
      </c>
      <c r="L28" s="628">
        <f>L22*Inputs!$C$7</f>
        <v>31.723545118764836</v>
      </c>
      <c r="M28" s="627">
        <f>M22*Inputs!$C$7</f>
        <v>34.315771993517636</v>
      </c>
      <c r="N28" s="627">
        <f>N22*Inputs!$C$7</f>
        <v>35.519801300521664</v>
      </c>
      <c r="O28" s="627">
        <f>O22*Inputs!$C$7</f>
        <v>51.466763468424709</v>
      </c>
      <c r="P28" s="626">
        <f>P22*Inputs!$C$7</f>
        <v>33.451339222248151</v>
      </c>
    </row>
    <row r="29" spans="1:16">
      <c r="A29" s="114" t="s">
        <v>380</v>
      </c>
      <c r="B29" s="147">
        <f t="shared" ref="B29:P29" si="6">SUM(B26:B28)</f>
        <v>105.42533690630978</v>
      </c>
      <c r="C29" s="97">
        <f t="shared" si="6"/>
        <v>282.06993760694854</v>
      </c>
      <c r="D29" s="97">
        <f t="shared" si="6"/>
        <v>802.96901721207223</v>
      </c>
      <c r="E29" s="97">
        <f t="shared" si="6"/>
        <v>1247.0335369393231</v>
      </c>
      <c r="F29" s="99">
        <f t="shared" si="6"/>
        <v>251.83008192620494</v>
      </c>
      <c r="G29" s="97">
        <f t="shared" ref="G29:K29" si="7">SUM(G26:G28)</f>
        <v>356.36116753759165</v>
      </c>
      <c r="H29" s="97">
        <f t="shared" si="7"/>
        <v>356.36116753759165</v>
      </c>
      <c r="I29" s="97">
        <f t="shared" si="7"/>
        <v>356.36116753759165</v>
      </c>
      <c r="J29" s="97">
        <f t="shared" si="7"/>
        <v>488.66140000380881</v>
      </c>
      <c r="K29" s="97">
        <f t="shared" si="7"/>
        <v>376.2062024075243</v>
      </c>
      <c r="L29" s="147">
        <f t="shared" si="6"/>
        <v>105.45514634211771</v>
      </c>
      <c r="M29" s="97">
        <f t="shared" si="6"/>
        <v>282.08022820117651</v>
      </c>
      <c r="N29" s="97">
        <f t="shared" si="6"/>
        <v>802.8639824402768</v>
      </c>
      <c r="O29" s="97">
        <f t="shared" si="6"/>
        <v>1244.0000483915808</v>
      </c>
      <c r="P29" s="99">
        <f t="shared" si="6"/>
        <v>251.85002422361413</v>
      </c>
    </row>
    <row r="30" spans="1:16">
      <c r="A30" s="53"/>
      <c r="B30" s="53"/>
      <c r="C30" s="87"/>
      <c r="D30" s="87"/>
      <c r="E30" s="87"/>
      <c r="F30" s="376"/>
      <c r="G30" s="87"/>
      <c r="H30" s="87"/>
      <c r="I30" s="87"/>
      <c r="J30" s="87"/>
      <c r="K30" s="87"/>
      <c r="L30" s="53"/>
      <c r="M30" s="87"/>
      <c r="N30" s="87"/>
      <c r="O30" s="87"/>
      <c r="P30" s="376"/>
    </row>
    <row r="31" spans="1:16">
      <c r="A31" s="40" t="s">
        <v>50</v>
      </c>
      <c r="B31" s="178">
        <f>'Sch TOU-A TSM Summary'!B$31*Inputs!$C$13</f>
        <v>29.452589682258807</v>
      </c>
      <c r="C31" s="88">
        <f>'Sch TOU-A TSM Summary'!C$31*Inputs!$C$13</f>
        <v>29.452589682258807</v>
      </c>
      <c r="D31" s="88">
        <f>'Sch TOU-A TSM Summary'!D$31*Inputs!$C$13</f>
        <v>29.452589682258807</v>
      </c>
      <c r="E31" s="88">
        <f>'Sch TOU-A TSM Summary'!E$31*Inputs!$C$13</f>
        <v>29.452589682258807</v>
      </c>
      <c r="F31" s="374">
        <f>'Sch TOU-A TSM Summary'!F$31*Inputs!$C$13</f>
        <v>29.452589682258807</v>
      </c>
      <c r="G31" s="88">
        <f>'Sch TOU-A TSM Summary'!G$31*Inputs!$C$13</f>
        <v>45.783288648094981</v>
      </c>
      <c r="H31" s="88">
        <f>'Sch TOU-A TSM Summary'!H$31*Inputs!$C$13</f>
        <v>45.783288648094981</v>
      </c>
      <c r="I31" s="88">
        <f>'Sch TOU-A TSM Summary'!I$31*Inputs!$C$13</f>
        <v>45.783288648094981</v>
      </c>
      <c r="J31" s="88">
        <f>'Sch TOU-A TSM Summary'!J$31*Inputs!$C$13</f>
        <v>45.783288648094981</v>
      </c>
      <c r="K31" s="88">
        <f>'Sch TOU-A TSM Summary'!K$31*Inputs!$C$13</f>
        <v>45.783288648094981</v>
      </c>
      <c r="L31" s="178">
        <f>'Sch TOU-A TSM Summary'!L$31*Inputs!$C$13</f>
        <v>29.455208124242809</v>
      </c>
      <c r="M31" s="88">
        <f>'Sch TOU-A TSM Summary'!M$31*Inputs!$C$13</f>
        <v>29.455208124242809</v>
      </c>
      <c r="N31" s="88">
        <f>'Sch TOU-A TSM Summary'!N$31*Inputs!$C$13</f>
        <v>29.455208124242809</v>
      </c>
      <c r="O31" s="88">
        <f>'Sch TOU-A TSM Summary'!O$31*Inputs!$C$13</f>
        <v>29.455208124242809</v>
      </c>
      <c r="P31" s="374">
        <f>'Sch TOU-A TSM Summary'!P$31*Inputs!$C$13</f>
        <v>29.455208124242809</v>
      </c>
    </row>
    <row r="32" spans="1:16" ht="15">
      <c r="A32" s="40" t="s">
        <v>453</v>
      </c>
      <c r="B32" s="730">
        <f>-Inputs!$C$18</f>
        <v>-3.0284021924274875</v>
      </c>
      <c r="C32" s="729">
        <f>-Inputs!$C$18</f>
        <v>-3.0284021924274875</v>
      </c>
      <c r="D32" s="729">
        <f>-Inputs!$C$18</f>
        <v>-3.0284021924274875</v>
      </c>
      <c r="E32" s="729">
        <f>-Inputs!$C$18</f>
        <v>-3.0284021924274875</v>
      </c>
      <c r="F32" s="731">
        <f>-Inputs!$C$18</f>
        <v>-3.0284021924274875</v>
      </c>
      <c r="G32" s="729">
        <f>-Inputs!$C$18</f>
        <v>-3.0284021924274875</v>
      </c>
      <c r="H32" s="729">
        <f>-Inputs!$C$18</f>
        <v>-3.0284021924274875</v>
      </c>
      <c r="I32" s="729">
        <f>-Inputs!$C$18</f>
        <v>-3.0284021924274875</v>
      </c>
      <c r="J32" s="729">
        <f>-Inputs!$C$18</f>
        <v>-3.0284021924274875</v>
      </c>
      <c r="K32" s="729">
        <f>-Inputs!$C$18</f>
        <v>-3.0284021924274875</v>
      </c>
      <c r="L32" s="730">
        <f>-Inputs!$C$18</f>
        <v>-3.0284021924274875</v>
      </c>
      <c r="M32" s="729">
        <f>-Inputs!$C$18</f>
        <v>-3.0284021924274875</v>
      </c>
      <c r="N32" s="729">
        <f>-Inputs!$C$18</f>
        <v>-3.0284021924274875</v>
      </c>
      <c r="O32" s="729">
        <f>-Inputs!$C$18</f>
        <v>-3.0284021924274875</v>
      </c>
      <c r="P32" s="731">
        <f>-Inputs!$C$18</f>
        <v>-3.0284021924274875</v>
      </c>
    </row>
    <row r="33" spans="1:16">
      <c r="A33" s="40" t="s">
        <v>451</v>
      </c>
      <c r="B33" s="178">
        <f>B31+B32</f>
        <v>26.424187489831318</v>
      </c>
      <c r="C33" s="88">
        <f t="shared" ref="C33:P33" si="8">C31+C32</f>
        <v>26.424187489831318</v>
      </c>
      <c r="D33" s="88">
        <f t="shared" si="8"/>
        <v>26.424187489831318</v>
      </c>
      <c r="E33" s="88">
        <f t="shared" si="8"/>
        <v>26.424187489831318</v>
      </c>
      <c r="F33" s="374">
        <f t="shared" si="8"/>
        <v>26.424187489831318</v>
      </c>
      <c r="G33" s="88">
        <f t="shared" si="8"/>
        <v>42.754886455667496</v>
      </c>
      <c r="H33" s="88">
        <f t="shared" si="8"/>
        <v>42.754886455667496</v>
      </c>
      <c r="I33" s="88">
        <f t="shared" si="8"/>
        <v>42.754886455667496</v>
      </c>
      <c r="J33" s="88">
        <f t="shared" si="8"/>
        <v>42.754886455667496</v>
      </c>
      <c r="K33" s="88">
        <f t="shared" si="8"/>
        <v>42.754886455667496</v>
      </c>
      <c r="L33" s="178">
        <f t="shared" si="8"/>
        <v>26.42680593181532</v>
      </c>
      <c r="M33" s="88">
        <f t="shared" si="8"/>
        <v>26.42680593181532</v>
      </c>
      <c r="N33" s="88">
        <f t="shared" si="8"/>
        <v>26.42680593181532</v>
      </c>
      <c r="O33" s="88">
        <f t="shared" si="8"/>
        <v>26.42680593181532</v>
      </c>
      <c r="P33" s="374">
        <f t="shared" si="8"/>
        <v>26.42680593181532</v>
      </c>
    </row>
    <row r="34" spans="1:16">
      <c r="A34" s="11"/>
      <c r="B34" s="178"/>
      <c r="C34" s="88"/>
      <c r="D34" s="88"/>
      <c r="E34" s="88"/>
      <c r="F34" s="374"/>
      <c r="G34" s="88"/>
      <c r="H34" s="88"/>
      <c r="I34" s="88"/>
      <c r="J34" s="88"/>
      <c r="K34" s="88"/>
      <c r="L34" s="178"/>
      <c r="M34" s="88"/>
      <c r="N34" s="88"/>
      <c r="O34" s="88"/>
      <c r="P34" s="374"/>
    </row>
    <row r="35" spans="1:16">
      <c r="A35" s="40" t="s">
        <v>61</v>
      </c>
      <c r="B35" s="178">
        <f>'Sch TOU-A TSM Summary'!B33*Inputs!$C$14</f>
        <v>56.488244546548479</v>
      </c>
      <c r="C35" s="88">
        <f>'Sch TOU-A TSM Summary'!C33*Inputs!$C$14</f>
        <v>56.488244546548479</v>
      </c>
      <c r="D35" s="88">
        <f>'Sch TOU-A TSM Summary'!D33*Inputs!$C$14</f>
        <v>56.488244546548479</v>
      </c>
      <c r="E35" s="88">
        <f>'Sch TOU-A TSM Summary'!E33*Inputs!$C$14</f>
        <v>56.488244546548479</v>
      </c>
      <c r="F35" s="374">
        <f>'Sch TOU-A TSM Summary'!F33*Inputs!$C$14</f>
        <v>56.488244546548479</v>
      </c>
      <c r="G35" s="88">
        <f>'Sch TOU-A TSM Summary'!G33*Inputs!$C$14</f>
        <v>56.488244546548472</v>
      </c>
      <c r="H35" s="88">
        <f>'Sch TOU-A TSM Summary'!H33*Inputs!$C$14</f>
        <v>56.488244546548472</v>
      </c>
      <c r="I35" s="88">
        <f>'Sch TOU-A TSM Summary'!I33*Inputs!$C$14</f>
        <v>56.488244546548472</v>
      </c>
      <c r="J35" s="88">
        <f>'Sch TOU-A TSM Summary'!J33*Inputs!$C$14</f>
        <v>56.488244546548472</v>
      </c>
      <c r="K35" s="88">
        <f>'Sch TOU-A TSM Summary'!K33*Inputs!$C$14</f>
        <v>56.488244546548472</v>
      </c>
      <c r="L35" s="178">
        <f>'Sch TOU-A TSM Summary'!L33*Inputs!$C$14</f>
        <v>56.488244546548472</v>
      </c>
      <c r="M35" s="88">
        <f>'Sch TOU-A TSM Summary'!M33*Inputs!$C$14</f>
        <v>56.488244546548472</v>
      </c>
      <c r="N35" s="88">
        <f>'Sch TOU-A TSM Summary'!N33*Inputs!$C$14</f>
        <v>56.488244546548472</v>
      </c>
      <c r="O35" s="88">
        <f>'Sch TOU-A TSM Summary'!O33*Inputs!$C$14</f>
        <v>56.488244546548472</v>
      </c>
      <c r="P35" s="374">
        <f>'Sch TOU-A TSM Summary'!P33*Inputs!$C$14</f>
        <v>56.488244546548472</v>
      </c>
    </row>
    <row r="36" spans="1:16">
      <c r="A36" s="11"/>
      <c r="B36" s="11"/>
      <c r="C36" s="12"/>
      <c r="D36" s="12"/>
      <c r="E36" s="12"/>
      <c r="F36" s="101"/>
      <c r="G36" s="12"/>
      <c r="H36" s="12"/>
      <c r="I36" s="12"/>
      <c r="J36" s="12"/>
      <c r="K36" s="12"/>
      <c r="L36" s="11"/>
      <c r="M36" s="12"/>
      <c r="N36" s="12"/>
      <c r="O36" s="12"/>
      <c r="P36" s="101"/>
    </row>
    <row r="37" spans="1:16" ht="13.5" thickBot="1">
      <c r="A37" s="177" t="s">
        <v>98</v>
      </c>
      <c r="B37" s="377">
        <f t="shared" ref="B37:P37" si="9">B29+B33+B35</f>
        <v>188.33776894268959</v>
      </c>
      <c r="C37" s="378">
        <f t="shared" si="9"/>
        <v>364.9823696433283</v>
      </c>
      <c r="D37" s="378">
        <f t="shared" si="9"/>
        <v>885.88144924845199</v>
      </c>
      <c r="E37" s="378">
        <f t="shared" si="9"/>
        <v>1329.945968975703</v>
      </c>
      <c r="F37" s="379">
        <f t="shared" si="9"/>
        <v>334.74251396258472</v>
      </c>
      <c r="G37" s="378">
        <f t="shared" ref="G37:K37" si="10">G29+G33+G35</f>
        <v>455.60429853980759</v>
      </c>
      <c r="H37" s="378">
        <f t="shared" si="10"/>
        <v>455.60429853980759</v>
      </c>
      <c r="I37" s="378">
        <f t="shared" si="10"/>
        <v>455.60429853980759</v>
      </c>
      <c r="J37" s="378">
        <f t="shared" si="10"/>
        <v>587.90453100602474</v>
      </c>
      <c r="K37" s="378">
        <f t="shared" si="10"/>
        <v>475.44933340974023</v>
      </c>
      <c r="L37" s="377">
        <f t="shared" si="9"/>
        <v>188.37019682048151</v>
      </c>
      <c r="M37" s="378">
        <f t="shared" si="9"/>
        <v>364.99527867954026</v>
      </c>
      <c r="N37" s="378">
        <f t="shared" si="9"/>
        <v>885.77903291864061</v>
      </c>
      <c r="O37" s="378">
        <f t="shared" si="9"/>
        <v>1326.9150988699446</v>
      </c>
      <c r="P37" s="379">
        <f t="shared" si="9"/>
        <v>334.76507470197788</v>
      </c>
    </row>
    <row r="38" spans="1:16">
      <c r="A38" s="113"/>
      <c r="B38" s="113"/>
      <c r="C38" s="113"/>
      <c r="D38" s="113"/>
      <c r="E38" s="113"/>
      <c r="F38" s="113"/>
      <c r="G38" s="113"/>
      <c r="H38" s="113"/>
      <c r="I38" s="113"/>
      <c r="J38" s="113"/>
      <c r="K38" s="113"/>
    </row>
    <row r="41" spans="1:16">
      <c r="A41" t="s">
        <v>3</v>
      </c>
    </row>
    <row r="49" spans="1:11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</row>
    <row r="61" spans="1:11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</row>
  </sheetData>
  <mergeCells count="5">
    <mergeCell ref="A1:P1"/>
    <mergeCell ref="B2:P2"/>
    <mergeCell ref="B3:F3"/>
    <mergeCell ref="G3:K3"/>
    <mergeCell ref="L3:P3"/>
  </mergeCells>
  <printOptions horizontalCentered="1"/>
  <pageMargins left="0.75" right="0.75" top="1" bottom="1" header="0.5" footer="0.5"/>
  <pageSetup scale="45" orientation="portrait" r:id="rId1"/>
  <headerFooter alignWithMargins="0">
    <oddFooter>&amp;L&amp;F
&amp;A&amp;R&amp;P of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Sheet28">
    <tabColor rgb="FF00642D"/>
    <pageSetUpPr fitToPage="1"/>
  </sheetPr>
  <dimension ref="A1:U63"/>
  <sheetViews>
    <sheetView zoomScaleNormal="100" workbookViewId="0">
      <pane xSplit="1" ySplit="5" topLeftCell="B6" activePane="bottomRight" state="frozen"/>
      <selection activeCell="D15" sqref="D15"/>
      <selection pane="topRight" activeCell="D15" sqref="D15"/>
      <selection pane="bottomLeft" activeCell="D15" sqref="D15"/>
      <selection pane="bottomRight" activeCell="D17" sqref="D17"/>
    </sheetView>
  </sheetViews>
  <sheetFormatPr defaultRowHeight="12.75"/>
  <cols>
    <col min="1" max="1" width="31.28515625" bestFit="1" customWidth="1"/>
    <col min="2" max="2" width="12.85546875" customWidth="1"/>
    <col min="3" max="3" width="11.5703125" customWidth="1"/>
    <col min="4" max="4" width="11.28515625" bestFit="1" customWidth="1"/>
    <col min="5" max="5" width="10.7109375" customWidth="1"/>
    <col min="6" max="6" width="12.85546875" customWidth="1"/>
    <col min="7" max="8" width="8.7109375" bestFit="1" customWidth="1"/>
    <col min="9" max="9" width="10.28515625" bestFit="1" customWidth="1"/>
    <col min="10" max="10" width="12.85546875" bestFit="1" customWidth="1"/>
    <col min="11" max="13" width="10.28515625" customWidth="1"/>
    <col min="14" max="14" width="12.85546875" bestFit="1" customWidth="1"/>
    <col min="15" max="16" width="11.28515625" bestFit="1" customWidth="1"/>
    <col min="17" max="17" width="10.28515625" customWidth="1"/>
    <col min="18" max="18" width="12.85546875" bestFit="1" customWidth="1"/>
    <col min="20" max="20" width="10.28515625" bestFit="1" customWidth="1"/>
  </cols>
  <sheetData>
    <row r="1" spans="1:21" ht="18.75" thickBot="1">
      <c r="A1" s="841" t="s">
        <v>131</v>
      </c>
      <c r="B1" s="841"/>
      <c r="C1" s="841"/>
      <c r="D1" s="841"/>
      <c r="E1" s="841"/>
      <c r="F1" s="841"/>
      <c r="G1" s="841"/>
      <c r="H1" s="841"/>
      <c r="I1" s="841"/>
      <c r="J1" s="841"/>
      <c r="K1" s="841"/>
      <c r="L1" s="841"/>
      <c r="M1" s="841"/>
      <c r="N1" s="841"/>
      <c r="O1" s="841"/>
      <c r="P1" s="841"/>
      <c r="Q1" s="841"/>
    </row>
    <row r="2" spans="1:21" ht="13.5" thickBot="1">
      <c r="A2" s="131"/>
      <c r="B2" s="834" t="s">
        <v>132</v>
      </c>
      <c r="C2" s="835"/>
      <c r="D2" s="835"/>
      <c r="E2" s="835"/>
      <c r="F2" s="835"/>
      <c r="G2" s="835"/>
      <c r="H2" s="835"/>
      <c r="I2" s="835"/>
      <c r="J2" s="835"/>
      <c r="K2" s="835"/>
      <c r="L2" s="835"/>
      <c r="M2" s="835"/>
      <c r="N2" s="835"/>
      <c r="O2" s="835"/>
      <c r="P2" s="835"/>
      <c r="Q2" s="835"/>
      <c r="R2" s="835"/>
      <c r="S2" s="835"/>
      <c r="T2" s="835"/>
      <c r="U2" s="837"/>
    </row>
    <row r="3" spans="1:21">
      <c r="A3" s="196"/>
      <c r="B3" s="842" t="s">
        <v>127</v>
      </c>
      <c r="C3" s="843"/>
      <c r="D3" s="843"/>
      <c r="E3" s="844"/>
      <c r="F3" s="842" t="s">
        <v>114</v>
      </c>
      <c r="G3" s="843"/>
      <c r="H3" s="843"/>
      <c r="I3" s="844"/>
      <c r="J3" s="842" t="s">
        <v>115</v>
      </c>
      <c r="K3" s="843"/>
      <c r="L3" s="843"/>
      <c r="M3" s="844"/>
      <c r="N3" s="842" t="s">
        <v>113</v>
      </c>
      <c r="O3" s="843"/>
      <c r="P3" s="843"/>
      <c r="Q3" s="843"/>
      <c r="R3" s="836" t="s">
        <v>144</v>
      </c>
      <c r="S3" s="843"/>
      <c r="T3" s="843"/>
      <c r="U3" s="844"/>
    </row>
    <row r="4" spans="1:21" ht="13.5" thickBot="1">
      <c r="A4" s="102" t="s">
        <v>4</v>
      </c>
      <c r="B4" s="2" t="s">
        <v>36</v>
      </c>
      <c r="C4" s="3" t="s">
        <v>37</v>
      </c>
      <c r="D4" s="3" t="s">
        <v>38</v>
      </c>
      <c r="E4" s="4" t="s">
        <v>41</v>
      </c>
      <c r="F4" s="311" t="s">
        <v>36</v>
      </c>
      <c r="G4" s="312" t="s">
        <v>37</v>
      </c>
      <c r="H4" s="312" t="s">
        <v>38</v>
      </c>
      <c r="I4" s="313" t="s">
        <v>41</v>
      </c>
      <c r="J4" s="311" t="s">
        <v>36</v>
      </c>
      <c r="K4" s="312" t="s">
        <v>37</v>
      </c>
      <c r="L4" s="312" t="s">
        <v>38</v>
      </c>
      <c r="M4" s="313" t="s">
        <v>41</v>
      </c>
      <c r="N4" s="311" t="s">
        <v>36</v>
      </c>
      <c r="O4" s="312" t="s">
        <v>37</v>
      </c>
      <c r="P4" s="312" t="s">
        <v>40</v>
      </c>
      <c r="Q4" s="312" t="s">
        <v>41</v>
      </c>
      <c r="R4" s="311" t="s">
        <v>36</v>
      </c>
      <c r="S4" s="312" t="s">
        <v>37</v>
      </c>
      <c r="T4" s="312" t="s">
        <v>38</v>
      </c>
      <c r="U4" s="313" t="s">
        <v>41</v>
      </c>
    </row>
    <row r="5" spans="1:21">
      <c r="A5" s="133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5" t="s">
        <v>42</v>
      </c>
      <c r="K5" s="6" t="s">
        <v>42</v>
      </c>
      <c r="L5" s="6" t="s">
        <v>42</v>
      </c>
      <c r="M5" s="7" t="s">
        <v>43</v>
      </c>
      <c r="N5" s="6"/>
      <c r="O5" s="6"/>
      <c r="P5" s="6"/>
      <c r="Q5" s="6"/>
      <c r="R5" s="11"/>
      <c r="S5" s="12"/>
      <c r="T5" s="12"/>
      <c r="U5" s="101"/>
    </row>
    <row r="6" spans="1:21">
      <c r="A6" s="112"/>
      <c r="B6" s="132"/>
      <c r="C6" s="8"/>
      <c r="D6" s="8"/>
      <c r="E6" s="9"/>
      <c r="F6" s="132"/>
      <c r="G6" s="8"/>
      <c r="H6" s="8"/>
      <c r="I6" s="9"/>
      <c r="J6" s="132"/>
      <c r="K6" s="8"/>
      <c r="L6" s="8"/>
      <c r="M6" s="9"/>
      <c r="N6" s="8"/>
      <c r="O6" s="8"/>
      <c r="P6" s="8"/>
      <c r="Q6" s="8"/>
      <c r="R6" s="11"/>
      <c r="S6" s="12"/>
      <c r="T6" s="12"/>
      <c r="U6" s="101"/>
    </row>
    <row r="7" spans="1:21">
      <c r="A7" s="153" t="s">
        <v>5</v>
      </c>
      <c r="B7" s="137">
        <f>'Sm Comm Cust Fcst'!$I8*'Non-Residential TSM UC Adj'!B7</f>
        <v>1788673.3642857841</v>
      </c>
      <c r="C7" s="23">
        <f>'Sm Comm Cust Fcst'!$I8*'Non-Residential TSM UC Adj'!C7</f>
        <v>689379.13152105047</v>
      </c>
      <c r="D7" s="23">
        <f>'Sm Comm Cust Fcst'!$I8*'Non-Residential TSM UC Adj'!D7</f>
        <v>1440006.1501700701</v>
      </c>
      <c r="E7" s="45">
        <f>IF(SUM(B7:D7)=0,0,SUM(B7:D7)/'Sm Comm Cust Fcst'!I8)</f>
        <v>637.49733907857217</v>
      </c>
      <c r="F7" s="137">
        <f>'Sm Comm Cust Fcst'!$J8*'Non-Residential TSM UC Adj'!F7</f>
        <v>1344.5457707042874</v>
      </c>
      <c r="G7" s="23">
        <f>'Sm Comm Cust Fcst'!$J8*'Non-Residential TSM UC Adj'!G7</f>
        <v>2439.2813004026148</v>
      </c>
      <c r="H7" s="23">
        <f>'Sm Comm Cust Fcst'!$J8*'Non-Residential TSM UC Adj'!H7</f>
        <v>1207.053995840567</v>
      </c>
      <c r="I7" s="45">
        <f>IF(SUM(F7:H7)=0,0,SUM(F7:H7)/'Sm Comm Cust Fcst'!J8)</f>
        <v>1247.7202667368674</v>
      </c>
      <c r="J7" s="137">
        <f>'Sm Comm Cust Fcst'!$K8*'Non-Residential TSM UC Adj'!J7</f>
        <v>6008.405070301339</v>
      </c>
      <c r="K7" s="23">
        <f>'Sm Comm Cust Fcst'!$K8*'Non-Residential TSM UC Adj'!K7</f>
        <v>10366.945526711113</v>
      </c>
      <c r="L7" s="23">
        <f>'Sm Comm Cust Fcst'!$K8*'Non-Residential TSM UC Adj'!L7</f>
        <v>5129.9794823224101</v>
      </c>
      <c r="M7" s="45">
        <f>IF(SUM(J7:L7)=0,0,SUM(J7:L7)/'Sm Comm Cust Fcst'!K8)</f>
        <v>1265.0194164314626</v>
      </c>
      <c r="N7" s="137">
        <f>'Sm Comm Cust Fcst'!$L8*'Non-Residential TSM UC Adj'!N7</f>
        <v>7087.5366025318226</v>
      </c>
      <c r="O7" s="23">
        <f>'Sm Comm Cust Fcst'!$L8*'Non-Residential TSM UC Adj'!O7</f>
        <v>10366.945526711113</v>
      </c>
      <c r="P7" s="23">
        <f>'Sm Comm Cust Fcst'!$L8*'Non-Residential TSM UC Adj'!P7</f>
        <v>5129.9794823224101</v>
      </c>
      <c r="Q7" s="23">
        <f>IF(SUM(N7:P7)=0,0,SUM(N7:P7)/'Sm Comm Cust Fcst'!L8)</f>
        <v>1328.4977418567851</v>
      </c>
      <c r="R7" s="137">
        <f>B7+F7+J7+N7</f>
        <v>1803113.8517293215</v>
      </c>
      <c r="S7" s="23">
        <f t="shared" ref="S7:T23" si="0">C7+G7+K7+O7</f>
        <v>712552.30387487519</v>
      </c>
      <c r="T7" s="23">
        <f t="shared" si="0"/>
        <v>1451473.1631305555</v>
      </c>
      <c r="U7" s="45">
        <f>IF(SUM(R7:T7)=0,0,SUM(R7:T7)/'Sm Comm Cust Fcst'!M8)</f>
        <v>641.51670742800002</v>
      </c>
    </row>
    <row r="8" spans="1:21">
      <c r="A8" s="155" t="s">
        <v>251</v>
      </c>
      <c r="B8" s="137">
        <f>'Sm Comm Cust Fcst'!$I9*'Non-Residential TSM UC Adj'!B8</f>
        <v>495915.94740367332</v>
      </c>
      <c r="C8" s="23">
        <f>'Sm Comm Cust Fcst'!$I9*'Non-Residential TSM UC Adj'!C8</f>
        <v>63710.925269111081</v>
      </c>
      <c r="D8" s="23">
        <f>'Sm Comm Cust Fcst'!$I9*'Non-Residential TSM UC Adj'!D8</f>
        <v>133082.2475262935</v>
      </c>
      <c r="E8" s="45">
        <f>IF(SUM(B8:D8)=0,0,SUM(B8:D8)/'Sm Comm Cust Fcst'!I9)</f>
        <v>1219.5583102096441</v>
      </c>
      <c r="F8" s="137">
        <f>'Sm Comm Cust Fcst'!$J9*'Non-Residential TSM UC Adj'!F8</f>
        <v>4033.6373121128622</v>
      </c>
      <c r="G8" s="23">
        <f>'Sm Comm Cust Fcst'!$J9*'Non-Residential TSM UC Adj'!G8</f>
        <v>2439.2813004026148</v>
      </c>
      <c r="H8" s="23">
        <f>'Sm Comm Cust Fcst'!$J9*'Non-Residential TSM UC Adj'!H8</f>
        <v>1207.053995840567</v>
      </c>
      <c r="I8" s="45">
        <f>IF(SUM(F8:H8)=0,0,SUM(F8:H8)/'Sm Comm Cust Fcst'!J9)</f>
        <v>1919.9931520890111</v>
      </c>
      <c r="J8" s="137">
        <f>'Sm Comm Cust Fcst'!$K9*'Non-Residential TSM UC Adj'!J8</f>
        <v>37110.73719892004</v>
      </c>
      <c r="K8" s="23">
        <f>'Sm Comm Cust Fcst'!$K9*'Non-Residential TSM UC Adj'!K8</f>
        <v>21343.711378522879</v>
      </c>
      <c r="L8" s="23">
        <f>'Sm Comm Cust Fcst'!$K9*'Non-Residential TSM UC Adj'!L8</f>
        <v>10561.722463604961</v>
      </c>
      <c r="M8" s="45">
        <f>IF(SUM(J8:L8)=0,0,SUM(J8:L8)/'Sm Comm Cust Fcst'!K9)</f>
        <v>1971.8906011727968</v>
      </c>
      <c r="N8" s="137">
        <f>'Sm Comm Cust Fcst'!$L9*'Non-Residential TSM UC Adj'!N8</f>
        <v>30017.802081311245</v>
      </c>
      <c r="O8" s="23">
        <f>'Sm Comm Cust Fcst'!$L9*'Non-Residential TSM UC Adj'!O8</f>
        <v>14635.687802415689</v>
      </c>
      <c r="P8" s="23">
        <f>'Sm Comm Cust Fcst'!$L9*'Non-Residential TSM UC Adj'!P8</f>
        <v>7242.3239750434022</v>
      </c>
      <c r="Q8" s="45">
        <f>IF(SUM(N8:P8)=0,0,SUM(N8:P8)/'Sm Comm Cust Fcst'!L9)</f>
        <v>2162.3255774487639</v>
      </c>
      <c r="R8" s="137">
        <f>B8+F8+J8+N8</f>
        <v>567078.12399601738</v>
      </c>
      <c r="S8" s="23">
        <f>C8+G8+K8+O8</f>
        <v>102129.60575045226</v>
      </c>
      <c r="T8" s="23">
        <f>D8+H8+L8+P8</f>
        <v>152093.34796078244</v>
      </c>
      <c r="U8" s="45">
        <f>IF(SUM(R8:T8)=0,0,SUM(R8:T8)/'Sm Comm Cust Fcst'!M9)</f>
        <v>1301.5864939893061</v>
      </c>
    </row>
    <row r="9" spans="1:21">
      <c r="A9" s="154" t="s">
        <v>252</v>
      </c>
      <c r="B9" s="137">
        <f>'Sm Comm Cust Fcst'!$I10*'Non-Residential TSM UC Adj'!B8</f>
        <v>71593.499449121853</v>
      </c>
      <c r="C9" s="23">
        <f>'Sm Comm Cust Fcst'!$I10*'Non-Residential TSM UC Adj'!C8</f>
        <v>9197.7040001181485</v>
      </c>
      <c r="D9" s="23">
        <f>'Sm Comm Cust Fcst'!$I10*'Non-Residential TSM UC Adj'!D8</f>
        <v>19212.577987950823</v>
      </c>
      <c r="E9" s="45">
        <f>IF(SUM(B9:D9)=0,0,SUM(B9:D9)/'Sm Comm Cust Fcst'!I10)</f>
        <v>1219.5583102096441</v>
      </c>
      <c r="F9" s="137">
        <f>'Sm Comm Cust Fcst'!$J10*'Non-Residential TSM UC Adj'!F8</f>
        <v>0</v>
      </c>
      <c r="G9" s="23">
        <f>'Sm Comm Cust Fcst'!$J10*'Non-Residential TSM UC Adj'!G8</f>
        <v>0</v>
      </c>
      <c r="H9" s="23">
        <f>'Sm Comm Cust Fcst'!$J10*'Non-Residential TSM UC Adj'!H8</f>
        <v>0</v>
      </c>
      <c r="I9" s="45">
        <f>IF(SUM(F9:H9)=0,0,SUM(F9:H9)/'Sm Comm Cust Fcst'!J10)</f>
        <v>0</v>
      </c>
      <c r="J9" s="137">
        <f>'Sm Comm Cust Fcst'!$K10*'Non-Residential TSM UC Adj'!J8</f>
        <v>13783.988102456015</v>
      </c>
      <c r="K9" s="23">
        <f>'Sm Comm Cust Fcst'!$K10*'Non-Residential TSM UC Adj'!K8</f>
        <v>7927.6642263084977</v>
      </c>
      <c r="L9" s="23">
        <f>'Sm Comm Cust Fcst'!$K10*'Non-Residential TSM UC Adj'!L8</f>
        <v>3922.9254864818431</v>
      </c>
      <c r="M9" s="45">
        <f>IF(SUM(J9:L9)=0,0,SUM(J9:L9)/'Sm Comm Cust Fcst'!K10)</f>
        <v>1971.8906011727963</v>
      </c>
      <c r="N9" s="137">
        <f>'Sm Comm Cust Fcst'!$L10*'Non-Residential TSM UC Adj'!N8</f>
        <v>12507.417533879687</v>
      </c>
      <c r="O9" s="23">
        <f>'Sm Comm Cust Fcst'!$L10*'Non-Residential TSM UC Adj'!O8</f>
        <v>6098.2032510065364</v>
      </c>
      <c r="P9" s="23">
        <f>'Sm Comm Cust Fcst'!$L10*'Non-Residential TSM UC Adj'!P8</f>
        <v>3017.6349896014176</v>
      </c>
      <c r="Q9" s="23">
        <f>IF(SUM(N9:P9)=0,0,SUM(N9:P9)/'Sm Comm Cust Fcst'!L10)</f>
        <v>2162.3255774487643</v>
      </c>
      <c r="R9" s="137">
        <f t="shared" ref="R9:R38" si="1">B9+F9+J9+N9</f>
        <v>97884.905085457562</v>
      </c>
      <c r="S9" s="23">
        <f t="shared" si="0"/>
        <v>23223.571477433183</v>
      </c>
      <c r="T9" s="23">
        <f t="shared" si="0"/>
        <v>26153.138464034084</v>
      </c>
      <c r="U9" s="45">
        <f>IF(SUM(R9:T9)=0,0,SUM(R9:T9)/'Sm Comm Cust Fcst'!M10)</f>
        <v>1402.4915716849982</v>
      </c>
    </row>
    <row r="10" spans="1:21">
      <c r="A10" s="155" t="s">
        <v>7</v>
      </c>
      <c r="B10" s="137">
        <f>'Sm Comm Cust Fcst'!$I11*'Non-Residential TSM UC Adj'!B9</f>
        <v>34923.658267864317</v>
      </c>
      <c r="C10" s="23">
        <f>'Sm Comm Cust Fcst'!$I11*'Non-Residential TSM UC Adj'!C9</f>
        <v>6324.1857508581243</v>
      </c>
      <c r="D10" s="23">
        <f>'Sm Comm Cust Fcst'!$I11*'Non-Residential TSM UC Adj'!D9</f>
        <v>9371.9892624150343</v>
      </c>
      <c r="E10" s="45">
        <f>IF(SUM(B10:D10)=0,0,SUM(B10:D10)/'Sm Comm Cust Fcst'!I11)</f>
        <v>1265.4958320284368</v>
      </c>
      <c r="F10" s="137">
        <f>'Sm Comm Cust Fcst'!$J11*'Non-Residential TSM UC Adj'!F9</f>
        <v>0</v>
      </c>
      <c r="G10" s="23">
        <f>'Sm Comm Cust Fcst'!$J11*'Non-Residential TSM UC Adj'!G9</f>
        <v>0</v>
      </c>
      <c r="H10" s="23">
        <f>'Sm Comm Cust Fcst'!$J11*'Non-Residential TSM UC Adj'!H9</f>
        <v>0</v>
      </c>
      <c r="I10" s="45">
        <f>IF(SUM(F10:H10)=0,0,SUM(F10:H10)/'Sm Comm Cust Fcst'!J11)</f>
        <v>0</v>
      </c>
      <c r="J10" s="137">
        <f>'Sm Comm Cust Fcst'!$K11*'Non-Residential TSM UC Adj'!J9</f>
        <v>25447.362650688025</v>
      </c>
      <c r="K10" s="23">
        <f>'Sm Comm Cust Fcst'!$K11*'Non-Residential TSM UC Adj'!K9</f>
        <v>8619.5030293743894</v>
      </c>
      <c r="L10" s="23">
        <f>'Sm Comm Cust Fcst'!$K11*'Non-Residential TSM UC Adj'!L9</f>
        <v>3621.1619875217011</v>
      </c>
      <c r="M10" s="45">
        <f>IF(SUM(J10:L10)=0,0,SUM(J10:L10)/'Sm Comm Cust Fcst'!K11)</f>
        <v>3140.6689722986762</v>
      </c>
      <c r="N10" s="137">
        <f>'Sm Comm Cust Fcst'!$L11*'Non-Residential TSM UC Adj'!N9</f>
        <v>10005.934027103749</v>
      </c>
      <c r="O10" s="23">
        <f>'Sm Comm Cust Fcst'!$L11*'Non-Residential TSM UC Adj'!O9</f>
        <v>2873.1676764581298</v>
      </c>
      <c r="P10" s="23">
        <f>'Sm Comm Cust Fcst'!$L11*'Non-Residential TSM UC Adj'!P9</f>
        <v>1207.053995840567</v>
      </c>
      <c r="Q10" s="23">
        <f>IF(SUM(N10:P10)=0,0,SUM(N10:P10)/'Sm Comm Cust Fcst'!L11)</f>
        <v>3521.5389248506117</v>
      </c>
      <c r="R10" s="137">
        <f t="shared" si="1"/>
        <v>70376.954945656093</v>
      </c>
      <c r="S10" s="23">
        <f t="shared" si="0"/>
        <v>17816.856456690643</v>
      </c>
      <c r="T10" s="23">
        <f t="shared" si="0"/>
        <v>14200.205245777302</v>
      </c>
      <c r="U10" s="45">
        <f>IF(SUM(R10:T10)=0,0,SUM(R10:T10)/'Sm Comm Cust Fcst'!M11)</f>
        <v>1828.4645830022148</v>
      </c>
    </row>
    <row r="11" spans="1:21">
      <c r="A11" s="155" t="s">
        <v>124</v>
      </c>
      <c r="B11" s="137">
        <f>'Sm Comm Cust Fcst'!$I12*'Non-Residential TSM UC Adj'!B10</f>
        <v>21827.286417415198</v>
      </c>
      <c r="C11" s="23">
        <f>'Sm Comm Cust Fcst'!$I12*'Non-Residential TSM UC Adj'!C10</f>
        <v>1728.2934577832257</v>
      </c>
      <c r="D11" s="23">
        <f>'Sm Comm Cust Fcst'!$I12*'Non-Residential TSM UC Adj'!D10</f>
        <v>2342.9973156037586</v>
      </c>
      <c r="E11" s="45">
        <f>IF(SUM(B11:D11)=0,0,SUM(B11:D11)/'Sm Comm Cust Fcst'!I12)</f>
        <v>2589.8577190802184</v>
      </c>
      <c r="F11" s="137">
        <f>'Sm Comm Cust Fcst'!$J12*'Non-Residential TSM UC Adj'!F10</f>
        <v>0</v>
      </c>
      <c r="G11" s="23">
        <f>'Sm Comm Cust Fcst'!$J12*'Non-Residential TSM UC Adj'!G10</f>
        <v>0</v>
      </c>
      <c r="H11" s="23">
        <f>'Sm Comm Cust Fcst'!$J12*'Non-Residential TSM UC Adj'!H10</f>
        <v>0</v>
      </c>
      <c r="I11" s="45">
        <f>IF(SUM(F11:H11)=0,0,SUM(F11:H11)/'Sm Comm Cust Fcst'!J12)</f>
        <v>0</v>
      </c>
      <c r="J11" s="137">
        <f>'Sm Comm Cust Fcst'!$K12*'Non-Residential TSM UC Adj'!J10</f>
        <v>9896.1965863786772</v>
      </c>
      <c r="K11" s="23">
        <f>'Sm Comm Cust Fcst'!$K12*'Non-Residential TSM UC Adj'!K10</f>
        <v>1436.5838382290649</v>
      </c>
      <c r="L11" s="23">
        <f>'Sm Comm Cust Fcst'!$K12*'Non-Residential TSM UC Adj'!L10</f>
        <v>603.52699792028352</v>
      </c>
      <c r="M11" s="45">
        <f>IF(SUM(J11:L11)=0,0,SUM(J11:L11)/'Sm Comm Cust Fcst'!K12)</f>
        <v>5968.1537112640135</v>
      </c>
      <c r="N11" s="137">
        <f>'Sm Comm Cust Fcst'!$L12*'Non-Residential TSM UC Adj'!N10</f>
        <v>0</v>
      </c>
      <c r="O11" s="23">
        <f>'Sm Comm Cust Fcst'!$L12*'Non-Residential TSM UC Adj'!O10</f>
        <v>0</v>
      </c>
      <c r="P11" s="23">
        <f>'Sm Comm Cust Fcst'!$L12*'Non-Residential TSM UC Adj'!P10</f>
        <v>0</v>
      </c>
      <c r="Q11" s="23">
        <f>IF(SUM(N11:P11)=0,0,SUM(N11:P11)/'Sm Comm Cust Fcst'!L12)</f>
        <v>0</v>
      </c>
      <c r="R11" s="137">
        <f t="shared" si="1"/>
        <v>31723.483003793874</v>
      </c>
      <c r="S11" s="23">
        <f t="shared" si="0"/>
        <v>3164.8772960122906</v>
      </c>
      <c r="T11" s="23">
        <f t="shared" si="0"/>
        <v>2946.5243135240421</v>
      </c>
      <c r="U11" s="45">
        <f>IF(SUM(R11:T11)=0,0,SUM(R11:T11)/'Sm Comm Cust Fcst'!M12)</f>
        <v>3152.9070511108507</v>
      </c>
    </row>
    <row r="12" spans="1:21">
      <c r="A12" s="155" t="s">
        <v>116</v>
      </c>
      <c r="B12" s="137">
        <f>'Sm Comm Cust Fcst'!$I13*'Non-Residential TSM UC Adj'!B11</f>
        <v>0</v>
      </c>
      <c r="C12" s="23">
        <f>'Sm Comm Cust Fcst'!$I13*'Non-Residential TSM UC Adj'!C11</f>
        <v>0</v>
      </c>
      <c r="D12" s="23">
        <f>'Sm Comm Cust Fcst'!$I13*'Non-Residential TSM UC Adj'!D11</f>
        <v>0</v>
      </c>
      <c r="E12" s="45">
        <f>IF(SUM(B12:D12)=0,0,SUM(B12:D12)/'Sm Comm Cust Fcst'!I13)</f>
        <v>0</v>
      </c>
      <c r="F12" s="137">
        <f>'Sm Comm Cust Fcst'!$J13*'Non-Residential TSM UC Adj'!F11</f>
        <v>0</v>
      </c>
      <c r="G12" s="23">
        <f>'Sm Comm Cust Fcst'!$J13*'Non-Residential TSM UC Adj'!G11</f>
        <v>0</v>
      </c>
      <c r="H12" s="23">
        <f>'Sm Comm Cust Fcst'!$J13*'Non-Residential TSM UC Adj'!H11</f>
        <v>0</v>
      </c>
      <c r="I12" s="45">
        <f>IF(SUM(F12:H12)=0,0,SUM(F12:H12)/'Sm Comm Cust Fcst'!J13)</f>
        <v>0</v>
      </c>
      <c r="J12" s="137">
        <f>'Sm Comm Cust Fcst'!$K13*'Non-Residential TSM UC Adj'!J11</f>
        <v>0</v>
      </c>
      <c r="K12" s="23">
        <f>'Sm Comm Cust Fcst'!$K13*'Non-Residential TSM UC Adj'!K11</f>
        <v>0</v>
      </c>
      <c r="L12" s="23">
        <f>'Sm Comm Cust Fcst'!$K13*'Non-Residential TSM UC Adj'!L11</f>
        <v>0</v>
      </c>
      <c r="M12" s="45">
        <f>IF(SUM(J12:L12)=0,0,SUM(J12:L12)/'Sm Comm Cust Fcst'!K13)</f>
        <v>0</v>
      </c>
      <c r="N12" s="137">
        <f>'Sm Comm Cust Fcst'!$L13*'Non-Residential TSM UC Adj'!N11</f>
        <v>0</v>
      </c>
      <c r="O12" s="23">
        <f>'Sm Comm Cust Fcst'!$L13*'Non-Residential TSM UC Adj'!O11</f>
        <v>0</v>
      </c>
      <c r="P12" s="23">
        <f>'Sm Comm Cust Fcst'!$L13*'Non-Residential TSM UC Adj'!P11</f>
        <v>0</v>
      </c>
      <c r="Q12" s="23">
        <f>IF(SUM(N12:P12)=0,0,SUM(N12:P12)/'Sm Comm Cust Fcst'!L13)</f>
        <v>0</v>
      </c>
      <c r="R12" s="137">
        <f t="shared" si="1"/>
        <v>0</v>
      </c>
      <c r="S12" s="23">
        <f t="shared" si="0"/>
        <v>0</v>
      </c>
      <c r="T12" s="23">
        <f t="shared" si="0"/>
        <v>0</v>
      </c>
      <c r="U12" s="45">
        <f>IF(SUM(R12:T12)=0,0,SUM(R12:T12)/'Sm Comm Cust Fcst'!M13)</f>
        <v>0</v>
      </c>
    </row>
    <row r="13" spans="1:21">
      <c r="A13" s="155" t="s">
        <v>8</v>
      </c>
      <c r="B13" s="137">
        <f>'Sm Comm Cust Fcst'!$I14*'Non-Residential TSM UC Adj'!B12</f>
        <v>0</v>
      </c>
      <c r="C13" s="23">
        <f>'Sm Comm Cust Fcst'!$I14*'Non-Residential TSM UC Adj'!C12</f>
        <v>0</v>
      </c>
      <c r="D13" s="23">
        <f>'Sm Comm Cust Fcst'!$I14*'Non-Residential TSM UC Adj'!D12</f>
        <v>0</v>
      </c>
      <c r="E13" s="45">
        <f>IF(SUM(B13:D13)=0,0,SUM(B13:D13)/'Sm Comm Cust Fcst'!I14)</f>
        <v>0</v>
      </c>
      <c r="F13" s="137">
        <f>'Sm Comm Cust Fcst'!$J14*'Non-Residential TSM UC Adj'!F12</f>
        <v>0</v>
      </c>
      <c r="G13" s="23">
        <f>'Sm Comm Cust Fcst'!$J14*'Non-Residential TSM UC Adj'!G12</f>
        <v>0</v>
      </c>
      <c r="H13" s="23">
        <f>'Sm Comm Cust Fcst'!$J14*'Non-Residential TSM UC Adj'!H12</f>
        <v>0</v>
      </c>
      <c r="I13" s="45">
        <f>IF(SUM(F13:H13)=0,0,SUM(F13:H13)/'Sm Comm Cust Fcst'!J14)</f>
        <v>0</v>
      </c>
      <c r="J13" s="137">
        <f>'Sm Comm Cust Fcst'!$K14*'Non-Residential TSM UC Adj'!J12</f>
        <v>0</v>
      </c>
      <c r="K13" s="23">
        <f>'Sm Comm Cust Fcst'!$K14*'Non-Residential TSM UC Adj'!K12</f>
        <v>0</v>
      </c>
      <c r="L13" s="23">
        <f>'Sm Comm Cust Fcst'!$K14*'Non-Residential TSM UC Adj'!L12</f>
        <v>0</v>
      </c>
      <c r="M13" s="45">
        <f>IF(SUM(J13:L13)=0,0,SUM(J13:L13)/'Sm Comm Cust Fcst'!K14)</f>
        <v>0</v>
      </c>
      <c r="N13" s="137">
        <f>'Sm Comm Cust Fcst'!$L14*'Non-Residential TSM UC Adj'!N12</f>
        <v>0</v>
      </c>
      <c r="O13" s="23">
        <f>'Sm Comm Cust Fcst'!$L14*'Non-Residential TSM UC Adj'!O12</f>
        <v>0</v>
      </c>
      <c r="P13" s="23">
        <f>'Sm Comm Cust Fcst'!$L14*'Non-Residential TSM UC Adj'!P12</f>
        <v>0</v>
      </c>
      <c r="Q13" s="23">
        <f>IF(SUM(N13:P13)=0,0,SUM(N13:P13)/'Sm Comm Cust Fcst'!L14)</f>
        <v>0</v>
      </c>
      <c r="R13" s="137">
        <f t="shared" si="1"/>
        <v>0</v>
      </c>
      <c r="S13" s="23">
        <f t="shared" si="0"/>
        <v>0</v>
      </c>
      <c r="T13" s="23">
        <f t="shared" si="0"/>
        <v>0</v>
      </c>
      <c r="U13" s="45">
        <f>IF(SUM(R13:T13)=0,0,SUM(R13:T13)/'Sm Comm Cust Fcst'!M14)</f>
        <v>0</v>
      </c>
    </row>
    <row r="14" spans="1:21">
      <c r="A14" s="155" t="s">
        <v>9</v>
      </c>
      <c r="B14" s="137">
        <f>'Sm Comm Cust Fcst'!$I15*'Non-Residential TSM UC Adj'!B13</f>
        <v>0</v>
      </c>
      <c r="C14" s="23">
        <f>'Sm Comm Cust Fcst'!$I15*'Non-Residential TSM UC Adj'!C13</f>
        <v>0</v>
      </c>
      <c r="D14" s="23">
        <f>'Sm Comm Cust Fcst'!$I15*'Non-Residential TSM UC Adj'!D13</f>
        <v>0</v>
      </c>
      <c r="E14" s="45">
        <f>IF(SUM(B14:D14)=0,0,SUM(B14:D14)/'Sm Comm Cust Fcst'!I15)</f>
        <v>0</v>
      </c>
      <c r="F14" s="137">
        <f>'Sm Comm Cust Fcst'!$J15*'Non-Residential TSM UC Adj'!F13</f>
        <v>0</v>
      </c>
      <c r="G14" s="23">
        <f>'Sm Comm Cust Fcst'!$J15*'Non-Residential TSM UC Adj'!G13</f>
        <v>0</v>
      </c>
      <c r="H14" s="23">
        <f>'Sm Comm Cust Fcst'!$J15*'Non-Residential TSM UC Adj'!H13</f>
        <v>0</v>
      </c>
      <c r="I14" s="45">
        <f>IF(SUM(F14:H14)=0,0,SUM(F14:H14)/'Sm Comm Cust Fcst'!J15)</f>
        <v>0</v>
      </c>
      <c r="J14" s="137">
        <f>'Sm Comm Cust Fcst'!$K15*'Non-Residential TSM UC Adj'!J13</f>
        <v>0</v>
      </c>
      <c r="K14" s="23">
        <f>'Sm Comm Cust Fcst'!$K15*'Non-Residential TSM UC Adj'!K13</f>
        <v>0</v>
      </c>
      <c r="L14" s="23">
        <f>'Sm Comm Cust Fcst'!$K15*'Non-Residential TSM UC Adj'!L13</f>
        <v>0</v>
      </c>
      <c r="M14" s="45">
        <f>IF(SUM(J14:L14)=0,0,SUM(J14:L14)/'Sm Comm Cust Fcst'!K15)</f>
        <v>0</v>
      </c>
      <c r="N14" s="137">
        <f>'Sm Comm Cust Fcst'!$L15*'Non-Residential TSM UC Adj'!N13</f>
        <v>0</v>
      </c>
      <c r="O14" s="23">
        <f>'Sm Comm Cust Fcst'!$L15*'Non-Residential TSM UC Adj'!O13</f>
        <v>0</v>
      </c>
      <c r="P14" s="23">
        <f>'Sm Comm Cust Fcst'!$L15*'Non-Residential TSM UC Adj'!P13</f>
        <v>0</v>
      </c>
      <c r="Q14" s="23">
        <f>IF(SUM(N14:P14)=0,0,SUM(N14:P14)/'Sm Comm Cust Fcst'!L15)</f>
        <v>0</v>
      </c>
      <c r="R14" s="137">
        <f t="shared" si="1"/>
        <v>0</v>
      </c>
      <c r="S14" s="23">
        <f t="shared" si="0"/>
        <v>0</v>
      </c>
      <c r="T14" s="23">
        <f t="shared" si="0"/>
        <v>0</v>
      </c>
      <c r="U14" s="45">
        <f>IF(SUM(R14:T14)=0,0,SUM(R14:T14)/'Sm Comm Cust Fcst'!M15)</f>
        <v>0</v>
      </c>
    </row>
    <row r="15" spans="1:21">
      <c r="A15" s="155" t="s">
        <v>10</v>
      </c>
      <c r="B15" s="137">
        <f>'Sm Comm Cust Fcst'!$I16*'Non-Residential TSM UC Adj'!B14</f>
        <v>0</v>
      </c>
      <c r="C15" s="23">
        <f>'Sm Comm Cust Fcst'!$I16*'Non-Residential TSM UC Adj'!C14</f>
        <v>0</v>
      </c>
      <c r="D15" s="23">
        <f>'Sm Comm Cust Fcst'!$I16*'Non-Residential TSM UC Adj'!D14</f>
        <v>0</v>
      </c>
      <c r="E15" s="45">
        <f>IF(SUM(B15:D15)=0,0,SUM(B15:D15)/'Sm Comm Cust Fcst'!I16)</f>
        <v>0</v>
      </c>
      <c r="F15" s="137">
        <f>'Sm Comm Cust Fcst'!$J16*'Non-Residential TSM UC Adj'!F14</f>
        <v>0</v>
      </c>
      <c r="G15" s="23">
        <f>'Sm Comm Cust Fcst'!$J16*'Non-Residential TSM UC Adj'!G14</f>
        <v>0</v>
      </c>
      <c r="H15" s="23">
        <f>'Sm Comm Cust Fcst'!$J16*'Non-Residential TSM UC Adj'!H14</f>
        <v>0</v>
      </c>
      <c r="I15" s="45">
        <f>IF(SUM(F15:H15)=0,0,SUM(F15:H15)/'Sm Comm Cust Fcst'!J16)</f>
        <v>0</v>
      </c>
      <c r="J15" s="137">
        <f>'Sm Comm Cust Fcst'!$K16*'Non-Residential TSM UC Adj'!J14</f>
        <v>0</v>
      </c>
      <c r="K15" s="23">
        <f>'Sm Comm Cust Fcst'!$K16*'Non-Residential TSM UC Adj'!K14</f>
        <v>0</v>
      </c>
      <c r="L15" s="23">
        <f>'Sm Comm Cust Fcst'!$K16*'Non-Residential TSM UC Adj'!L14</f>
        <v>0</v>
      </c>
      <c r="M15" s="45">
        <f>IF(SUM(J15:L15)=0,0,SUM(J15:L15)/'Sm Comm Cust Fcst'!K16)</f>
        <v>0</v>
      </c>
      <c r="N15" s="137">
        <f>'Sm Comm Cust Fcst'!$L16*'Non-Residential TSM UC Adj'!N14</f>
        <v>0</v>
      </c>
      <c r="O15" s="23">
        <f>'Sm Comm Cust Fcst'!$L16*'Non-Residential TSM UC Adj'!O14</f>
        <v>0</v>
      </c>
      <c r="P15" s="23">
        <f>'Sm Comm Cust Fcst'!$L16*'Non-Residential TSM UC Adj'!P14</f>
        <v>0</v>
      </c>
      <c r="Q15" s="23">
        <f>IF(SUM(N15:P15)=0,0,SUM(N15:P15)/'Sm Comm Cust Fcst'!L16)</f>
        <v>0</v>
      </c>
      <c r="R15" s="137">
        <f t="shared" si="1"/>
        <v>0</v>
      </c>
      <c r="S15" s="23">
        <f t="shared" si="0"/>
        <v>0</v>
      </c>
      <c r="T15" s="23">
        <f t="shared" si="0"/>
        <v>0</v>
      </c>
      <c r="U15" s="45">
        <f>IF(SUM(R15:T15)=0,0,SUM(R15:T15)/'Sm Comm Cust Fcst'!M16)</f>
        <v>0</v>
      </c>
    </row>
    <row r="16" spans="1:21">
      <c r="A16" s="155" t="s">
        <v>11</v>
      </c>
      <c r="B16" s="137">
        <f>'Sm Comm Cust Fcst'!$I17*'Non-Residential TSM UC Adj'!B15</f>
        <v>0</v>
      </c>
      <c r="C16" s="23">
        <f>'Sm Comm Cust Fcst'!$I17*'Non-Residential TSM UC Adj'!C15</f>
        <v>0</v>
      </c>
      <c r="D16" s="23">
        <f>'Sm Comm Cust Fcst'!$I17*'Non-Residential TSM UC Adj'!D15</f>
        <v>0</v>
      </c>
      <c r="E16" s="45">
        <f>IF(SUM(B16:D16)=0,0,SUM(B16:D16)/'Sm Comm Cust Fcst'!I17)</f>
        <v>0</v>
      </c>
      <c r="F16" s="137">
        <f>'Sm Comm Cust Fcst'!$J17*'Non-Residential TSM UC Adj'!F15</f>
        <v>0</v>
      </c>
      <c r="G16" s="23">
        <f>'Sm Comm Cust Fcst'!$J17*'Non-Residential TSM UC Adj'!G15</f>
        <v>0</v>
      </c>
      <c r="H16" s="23">
        <f>'Sm Comm Cust Fcst'!$J17*'Non-Residential TSM UC Adj'!H15</f>
        <v>0</v>
      </c>
      <c r="I16" s="45">
        <f>IF(SUM(F16:H16)=0,0,SUM(F16:H16)/'Sm Comm Cust Fcst'!J17)</f>
        <v>0</v>
      </c>
      <c r="J16" s="137">
        <f>'Sm Comm Cust Fcst'!$K17*'Non-Residential TSM UC Adj'!J15</f>
        <v>0</v>
      </c>
      <c r="K16" s="23">
        <f>'Sm Comm Cust Fcst'!$K17*'Non-Residential TSM UC Adj'!K15</f>
        <v>0</v>
      </c>
      <c r="L16" s="23">
        <f>'Sm Comm Cust Fcst'!$K17*'Non-Residential TSM UC Adj'!L15</f>
        <v>0</v>
      </c>
      <c r="M16" s="45">
        <f>IF(SUM(J16:L16)=0,0,SUM(J16:L16)/'Sm Comm Cust Fcst'!K17)</f>
        <v>0</v>
      </c>
      <c r="N16" s="137">
        <f>'Sm Comm Cust Fcst'!$L17*'Non-Residential TSM UC Adj'!N15</f>
        <v>0</v>
      </c>
      <c r="O16" s="23">
        <f>'Sm Comm Cust Fcst'!$L17*'Non-Residential TSM UC Adj'!O15</f>
        <v>0</v>
      </c>
      <c r="P16" s="23">
        <f>'Sm Comm Cust Fcst'!$L17*'Non-Residential TSM UC Adj'!P15</f>
        <v>0</v>
      </c>
      <c r="Q16" s="23">
        <f>IF(SUM(N16:P16)=0,0,SUM(N16:P16)/'Sm Comm Cust Fcst'!L17)</f>
        <v>0</v>
      </c>
      <c r="R16" s="137">
        <f t="shared" si="1"/>
        <v>0</v>
      </c>
      <c r="S16" s="23">
        <f t="shared" si="0"/>
        <v>0</v>
      </c>
      <c r="T16" s="23">
        <f t="shared" si="0"/>
        <v>0</v>
      </c>
      <c r="U16" s="45">
        <f>IF(SUM(R16:T16)=0,0,SUM(R16:T16)/'Sm Comm Cust Fcst'!M17)</f>
        <v>0</v>
      </c>
    </row>
    <row r="17" spans="1:21">
      <c r="A17" s="155" t="s">
        <v>120</v>
      </c>
      <c r="B17" s="137">
        <f>'Sm Comm Cust Fcst'!$I18*'Non-Residential TSM UC Adj'!B16</f>
        <v>0</v>
      </c>
      <c r="C17" s="23">
        <f>'Sm Comm Cust Fcst'!$I18*'Non-Residential TSM UC Adj'!C16</f>
        <v>0</v>
      </c>
      <c r="D17" s="23">
        <f>'Sm Comm Cust Fcst'!$I18*'Non-Residential TSM UC Adj'!D16</f>
        <v>0</v>
      </c>
      <c r="E17" s="45">
        <f>IF(SUM(B17:D17)=0,0,SUM(B17:D17)/'Sm Comm Cust Fcst'!I18)</f>
        <v>0</v>
      </c>
      <c r="F17" s="137">
        <f>'Sm Comm Cust Fcst'!$J18*'Non-Residential TSM UC Adj'!F16</f>
        <v>0</v>
      </c>
      <c r="G17" s="23">
        <f>'Sm Comm Cust Fcst'!$J18*'Non-Residential TSM UC Adj'!G16</f>
        <v>0</v>
      </c>
      <c r="H17" s="23">
        <f>'Sm Comm Cust Fcst'!$J18*'Non-Residential TSM UC Adj'!H16</f>
        <v>0</v>
      </c>
      <c r="I17" s="45">
        <f>IF(SUM(F17:H17)=0,0,SUM(F17:H17)/'Sm Comm Cust Fcst'!J18)</f>
        <v>0</v>
      </c>
      <c r="J17" s="137">
        <f>'Sm Comm Cust Fcst'!$K18*'Non-Residential TSM UC Adj'!J16</f>
        <v>0</v>
      </c>
      <c r="K17" s="23">
        <f>'Sm Comm Cust Fcst'!$K18*'Non-Residential TSM UC Adj'!K16</f>
        <v>0</v>
      </c>
      <c r="L17" s="23">
        <f>'Sm Comm Cust Fcst'!$K18*'Non-Residential TSM UC Adj'!L16</f>
        <v>0</v>
      </c>
      <c r="M17" s="45">
        <f>IF(SUM(J17:L17)=0,0,SUM(J17:L17)/'Sm Comm Cust Fcst'!K18)</f>
        <v>0</v>
      </c>
      <c r="N17" s="137">
        <f>'Sm Comm Cust Fcst'!$L18*'Non-Residential TSM UC Adj'!N16</f>
        <v>0</v>
      </c>
      <c r="O17" s="23">
        <f>'Sm Comm Cust Fcst'!$L18*'Non-Residential TSM UC Adj'!O16</f>
        <v>0</v>
      </c>
      <c r="P17" s="23">
        <f>'Sm Comm Cust Fcst'!$L18*'Non-Residential TSM UC Adj'!P16</f>
        <v>0</v>
      </c>
      <c r="Q17" s="23">
        <f>IF(SUM(N17:P17)=0,0,SUM(N17:P17)/'Sm Comm Cust Fcst'!L18)</f>
        <v>0</v>
      </c>
      <c r="R17" s="137">
        <f t="shared" si="1"/>
        <v>0</v>
      </c>
      <c r="S17" s="23">
        <f t="shared" si="0"/>
        <v>0</v>
      </c>
      <c r="T17" s="23">
        <f t="shared" si="0"/>
        <v>0</v>
      </c>
      <c r="U17" s="45">
        <f>IF(SUM(R17:T17)=0,0,SUM(R17:T17)/'Sm Comm Cust Fcst'!M18)</f>
        <v>0</v>
      </c>
    </row>
    <row r="18" spans="1:21">
      <c r="A18" s="155" t="s">
        <v>121</v>
      </c>
      <c r="B18" s="137">
        <f>'Sm Comm Cust Fcst'!$I19*'Non-Residential TSM UC Adj'!J17</f>
        <v>0</v>
      </c>
      <c r="C18" s="23">
        <f>'Sm Comm Cust Fcst'!$I19*'Non-Residential TSM UC Adj'!K17</f>
        <v>0</v>
      </c>
      <c r="D18" s="23">
        <f>'Sm Comm Cust Fcst'!$I19*'Non-Residential TSM UC Adj'!L17</f>
        <v>0</v>
      </c>
      <c r="E18" s="45">
        <f>IF(SUM(B18:D18)=0,0,SUM(B18:D18)/'Sm Comm Cust Fcst'!I19)</f>
        <v>0</v>
      </c>
      <c r="F18" s="137">
        <f>'Sm Comm Cust Fcst'!$J19*'Non-Residential TSM UC Adj'!F17</f>
        <v>0</v>
      </c>
      <c r="G18" s="23">
        <f>'Sm Comm Cust Fcst'!$J19*'Non-Residential TSM UC Adj'!G17</f>
        <v>0</v>
      </c>
      <c r="H18" s="23">
        <f>'Sm Comm Cust Fcst'!$J19*'Non-Residential TSM UC Adj'!H17</f>
        <v>0</v>
      </c>
      <c r="I18" s="45">
        <f>IF(SUM(F18:H18)=0,0,SUM(F18:H18)/'Sm Comm Cust Fcst'!J19)</f>
        <v>0</v>
      </c>
      <c r="J18" s="137">
        <f>'Sm Comm Cust Fcst'!$K19*'Non-Residential TSM UC Adj'!J17</f>
        <v>0</v>
      </c>
      <c r="K18" s="23">
        <f>'Sm Comm Cust Fcst'!$K19*'Non-Residential TSM UC Adj'!K17</f>
        <v>0</v>
      </c>
      <c r="L18" s="23">
        <f>'Sm Comm Cust Fcst'!$K19*'Non-Residential TSM UC Adj'!L17</f>
        <v>0</v>
      </c>
      <c r="M18" s="45">
        <f>IF(SUM(J18:L18)=0,0,SUM(J18:L18)/'Sm Comm Cust Fcst'!K19)</f>
        <v>0</v>
      </c>
      <c r="N18" s="137">
        <f>'Sm Comm Cust Fcst'!$L19*'Non-Residential TSM UC Adj'!N17</f>
        <v>0</v>
      </c>
      <c r="O18" s="23">
        <f>'Sm Comm Cust Fcst'!$L19*'Non-Residential TSM UC Adj'!O17</f>
        <v>0</v>
      </c>
      <c r="P18" s="23">
        <f>'Sm Comm Cust Fcst'!$L19*'Non-Residential TSM UC Adj'!P17</f>
        <v>0</v>
      </c>
      <c r="Q18" s="23">
        <f>IF(SUM(N18:P18)=0,0,SUM(N18:P18)/'Sm Comm Cust Fcst'!L19)</f>
        <v>0</v>
      </c>
      <c r="R18" s="137">
        <f t="shared" si="1"/>
        <v>0</v>
      </c>
      <c r="S18" s="23">
        <f t="shared" si="0"/>
        <v>0</v>
      </c>
      <c r="T18" s="23">
        <f t="shared" si="0"/>
        <v>0</v>
      </c>
      <c r="U18" s="45">
        <f>IF(SUM(R18:T18)=0,0,SUM(R18:T18)/'Sm Comm Cust Fcst'!M19)</f>
        <v>0</v>
      </c>
    </row>
    <row r="19" spans="1:21">
      <c r="A19" s="155" t="s">
        <v>12</v>
      </c>
      <c r="B19" s="137">
        <f>'Sm Comm Cust Fcst'!$I20*'Non-Residential TSM UC Adj'!J18</f>
        <v>0</v>
      </c>
      <c r="C19" s="23">
        <f>'Sm Comm Cust Fcst'!$I20*'Non-Residential TSM UC Adj'!K18</f>
        <v>0</v>
      </c>
      <c r="D19" s="23">
        <f>'Sm Comm Cust Fcst'!$I20*'Non-Residential TSM UC Adj'!L18</f>
        <v>0</v>
      </c>
      <c r="E19" s="45">
        <f>IF(SUM(B19:D19)=0,0,SUM(B19:D19)/'Sm Comm Cust Fcst'!I20)</f>
        <v>0</v>
      </c>
      <c r="F19" s="137">
        <f>'Sm Comm Cust Fcst'!$J20*'Non-Residential TSM UC Adj'!J18</f>
        <v>0</v>
      </c>
      <c r="G19" s="23">
        <f>'Sm Comm Cust Fcst'!$J20*'Non-Residential TSM UC Adj'!K18</f>
        <v>0</v>
      </c>
      <c r="H19" s="23">
        <f>'Sm Comm Cust Fcst'!$J20*'Non-Residential TSM UC Adj'!L18</f>
        <v>0</v>
      </c>
      <c r="I19" s="45">
        <f>IF(SUM(F19:H19)=0,0,SUM(F19:H19)/'Sm Comm Cust Fcst'!J20)</f>
        <v>0</v>
      </c>
      <c r="J19" s="137">
        <f>'Sm Comm Cust Fcst'!$K20*'Non-Residential TSM UC Adj'!J18</f>
        <v>0</v>
      </c>
      <c r="K19" s="23">
        <f>'Sm Comm Cust Fcst'!$K20*'Non-Residential TSM UC Adj'!K18</f>
        <v>0</v>
      </c>
      <c r="L19" s="23">
        <f>'Sm Comm Cust Fcst'!$K20*'Non-Residential TSM UC Adj'!L18</f>
        <v>0</v>
      </c>
      <c r="M19" s="45">
        <f>IF(SUM(J19:L19)=0,0,SUM(J19:L19)/'Sm Comm Cust Fcst'!K20)</f>
        <v>0</v>
      </c>
      <c r="N19" s="137">
        <f>'Sm Comm Cust Fcst'!$L20*'Non-Residential TSM UC Adj'!N18</f>
        <v>0</v>
      </c>
      <c r="O19" s="23">
        <f>'Sm Comm Cust Fcst'!$L20*'Non-Residential TSM UC Adj'!O18</f>
        <v>0</v>
      </c>
      <c r="P19" s="23">
        <f>'Sm Comm Cust Fcst'!$L20*'Non-Residential TSM UC Adj'!P18</f>
        <v>0</v>
      </c>
      <c r="Q19" s="23">
        <f>IF(SUM(N19:P19)=0,0,SUM(N19:P19)/'Sm Comm Cust Fcst'!L20)</f>
        <v>0</v>
      </c>
      <c r="R19" s="137">
        <f t="shared" si="1"/>
        <v>0</v>
      </c>
      <c r="S19" s="23">
        <f t="shared" si="0"/>
        <v>0</v>
      </c>
      <c r="T19" s="23">
        <f t="shared" si="0"/>
        <v>0</v>
      </c>
      <c r="U19" s="45">
        <f>IF(SUM(R19:T19)=0,0,SUM(R19:T19)/'Sm Comm Cust Fcst'!M20)</f>
        <v>0</v>
      </c>
    </row>
    <row r="20" spans="1:21">
      <c r="A20" s="155" t="s">
        <v>13</v>
      </c>
      <c r="B20" s="137">
        <f>'Sm Comm Cust Fcst'!$I21*'Non-Residential TSM UC Adj'!J19</f>
        <v>0</v>
      </c>
      <c r="C20" s="23">
        <f>'Sm Comm Cust Fcst'!$I21*'Non-Residential TSM UC Adj'!K19</f>
        <v>0</v>
      </c>
      <c r="D20" s="23">
        <f>'Sm Comm Cust Fcst'!$I21*'Non-Residential TSM UC Adj'!L19</f>
        <v>0</v>
      </c>
      <c r="E20" s="45">
        <f>IF(SUM(B20:D20)=0,0,SUM(B20:D20)/'Sm Comm Cust Fcst'!I21)</f>
        <v>0</v>
      </c>
      <c r="F20" s="137">
        <f>'Sm Comm Cust Fcst'!$J21*'Non-Residential TSM UC Adj'!J19</f>
        <v>0</v>
      </c>
      <c r="G20" s="23">
        <f>'Sm Comm Cust Fcst'!$J21*'Non-Residential TSM UC Adj'!K19</f>
        <v>0</v>
      </c>
      <c r="H20" s="23">
        <f>'Sm Comm Cust Fcst'!$J21*'Non-Residential TSM UC Adj'!L19</f>
        <v>0</v>
      </c>
      <c r="I20" s="45">
        <f>IF(SUM(F20:H20)=0,0,SUM(F20:H20)/'Sm Comm Cust Fcst'!J21)</f>
        <v>0</v>
      </c>
      <c r="J20" s="137">
        <f>'Sm Comm Cust Fcst'!$K21*'Non-Residential TSM UC Adj'!J19</f>
        <v>0</v>
      </c>
      <c r="K20" s="23">
        <f>'Sm Comm Cust Fcst'!$K21*'Non-Residential TSM UC Adj'!K19</f>
        <v>0</v>
      </c>
      <c r="L20" s="23">
        <f>'Sm Comm Cust Fcst'!$K21*'Non-Residential TSM UC Adj'!L19</f>
        <v>0</v>
      </c>
      <c r="M20" s="45">
        <f>IF(SUM(J20:L20)=0,0,SUM(J20:L20)/'Sm Comm Cust Fcst'!K21)</f>
        <v>0</v>
      </c>
      <c r="N20" s="137">
        <f>'Sm Comm Cust Fcst'!$L21*'Non-Residential TSM UC Adj'!N19</f>
        <v>0</v>
      </c>
      <c r="O20" s="23">
        <f>'Sm Comm Cust Fcst'!$L21*'Non-Residential TSM UC Adj'!O19</f>
        <v>0</v>
      </c>
      <c r="P20" s="23">
        <f>'Sm Comm Cust Fcst'!$L21*'Non-Residential TSM UC Adj'!P19</f>
        <v>0</v>
      </c>
      <c r="Q20" s="23">
        <f>IF(SUM(N20:P20)=0,0,SUM(N20:P20)/'Sm Comm Cust Fcst'!L21)</f>
        <v>0</v>
      </c>
      <c r="R20" s="137">
        <f t="shared" si="1"/>
        <v>0</v>
      </c>
      <c r="S20" s="23">
        <f t="shared" si="0"/>
        <v>0</v>
      </c>
      <c r="T20" s="23">
        <f t="shared" si="0"/>
        <v>0</v>
      </c>
      <c r="U20" s="45">
        <f>IF(SUM(R20:T20)=0,0,SUM(R20:T20)/'Sm Comm Cust Fcst'!M21)</f>
        <v>0</v>
      </c>
    </row>
    <row r="21" spans="1:21">
      <c r="A21" s="155" t="s">
        <v>122</v>
      </c>
      <c r="B21" s="137">
        <f>'Sm Comm Cust Fcst'!$I22*'Non-Residential TSM UC Adj'!J20</f>
        <v>0</v>
      </c>
      <c r="C21" s="23">
        <f>'Sm Comm Cust Fcst'!$I22*'Non-Residential TSM UC Adj'!K20</f>
        <v>0</v>
      </c>
      <c r="D21" s="23">
        <f>'Sm Comm Cust Fcst'!$I22*'Non-Residential TSM UC Adj'!L20</f>
        <v>0</v>
      </c>
      <c r="E21" s="45">
        <f>IF(SUM(B21:D21)=0,0,SUM(B21:D21)/'Sm Comm Cust Fcst'!I22)</f>
        <v>0</v>
      </c>
      <c r="F21" s="137">
        <f>'Sm Comm Cust Fcst'!$J22*'Non-Residential TSM UC Adj'!J20</f>
        <v>0</v>
      </c>
      <c r="G21" s="23">
        <f>'Sm Comm Cust Fcst'!$J22*'Non-Residential TSM UC Adj'!K20</f>
        <v>0</v>
      </c>
      <c r="H21" s="23">
        <f>'Sm Comm Cust Fcst'!$J22*'Non-Residential TSM UC Adj'!L20</f>
        <v>0</v>
      </c>
      <c r="I21" s="45">
        <f>IF(SUM(F21:H21)=0,0,SUM(F21:H21)/'Sm Comm Cust Fcst'!J22)</f>
        <v>0</v>
      </c>
      <c r="J21" s="137">
        <f>'Sm Comm Cust Fcst'!$K22*'Non-Residential TSM UC Adj'!J20</f>
        <v>0</v>
      </c>
      <c r="K21" s="23">
        <f>'Sm Comm Cust Fcst'!$K22*'Non-Residential TSM UC Adj'!K20</f>
        <v>0</v>
      </c>
      <c r="L21" s="23">
        <f>'Sm Comm Cust Fcst'!$K22*'Non-Residential TSM UC Adj'!L20</f>
        <v>0</v>
      </c>
      <c r="M21" s="45">
        <f>IF(SUM(J21:L21)=0,0,SUM(J21:L21)/'Sm Comm Cust Fcst'!K22)</f>
        <v>0</v>
      </c>
      <c r="N21" s="137">
        <f>'Sm Comm Cust Fcst'!$L22*'Non-Residential TSM UC Adj'!N20</f>
        <v>0</v>
      </c>
      <c r="O21" s="23">
        <f>'Sm Comm Cust Fcst'!$L22*'Non-Residential TSM UC Adj'!O20</f>
        <v>0</v>
      </c>
      <c r="P21" s="23">
        <f>'Sm Comm Cust Fcst'!$L22*'Non-Residential TSM UC Adj'!P20</f>
        <v>0</v>
      </c>
      <c r="Q21" s="23">
        <f>IF(SUM(N21:P21)=0,0,SUM(N21:P21)/'Sm Comm Cust Fcst'!L22)</f>
        <v>0</v>
      </c>
      <c r="R21" s="137">
        <f t="shared" si="1"/>
        <v>0</v>
      </c>
      <c r="S21" s="23">
        <f t="shared" si="0"/>
        <v>0</v>
      </c>
      <c r="T21" s="23">
        <f t="shared" si="0"/>
        <v>0</v>
      </c>
      <c r="U21" s="45">
        <f>IF(SUM(R21:T21)=0,0,SUM(R21:T21)/'Sm Comm Cust Fcst'!M22)</f>
        <v>0</v>
      </c>
    </row>
    <row r="22" spans="1:21">
      <c r="A22" s="155" t="s">
        <v>123</v>
      </c>
      <c r="B22" s="137">
        <f>'Sm Comm Cust Fcst'!$I23*'Non-Residential TSM UC Adj'!J21</f>
        <v>0</v>
      </c>
      <c r="C22" s="23">
        <f>'Sm Comm Cust Fcst'!$I23*'Non-Residential TSM UC Adj'!K21</f>
        <v>0</v>
      </c>
      <c r="D22" s="23">
        <f>'Sm Comm Cust Fcst'!$I23*'Non-Residential TSM UC Adj'!L21</f>
        <v>0</v>
      </c>
      <c r="E22" s="45">
        <f>IF(SUM(B22:D22)=0,0,SUM(B22:D22)/'Sm Comm Cust Fcst'!I23)</f>
        <v>0</v>
      </c>
      <c r="F22" s="137">
        <f>'Sm Comm Cust Fcst'!$J23*'Non-Residential TSM UC Adj'!J21</f>
        <v>0</v>
      </c>
      <c r="G22" s="23">
        <f>'Sm Comm Cust Fcst'!$J23*'Non-Residential TSM UC Adj'!K21</f>
        <v>0</v>
      </c>
      <c r="H22" s="23">
        <f>'Sm Comm Cust Fcst'!$J23*'Non-Residential TSM UC Adj'!L21</f>
        <v>0</v>
      </c>
      <c r="I22" s="45">
        <f>IF(SUM(F22:H22)=0,0,SUM(F22:H22)/'Sm Comm Cust Fcst'!J23)</f>
        <v>0</v>
      </c>
      <c r="J22" s="137">
        <f>'Sm Comm Cust Fcst'!$K23*'Non-Residential TSM UC Adj'!J21</f>
        <v>0</v>
      </c>
      <c r="K22" s="23">
        <f>'Sm Comm Cust Fcst'!$K23*'Non-Residential TSM UC Adj'!K21</f>
        <v>0</v>
      </c>
      <c r="L22" s="23">
        <f>'Sm Comm Cust Fcst'!$K23*'Non-Residential TSM UC Adj'!L21</f>
        <v>0</v>
      </c>
      <c r="M22" s="45">
        <f>IF(SUM(J22:L22)=0,0,SUM(J22:L22)/'Sm Comm Cust Fcst'!K23)</f>
        <v>0</v>
      </c>
      <c r="N22" s="137">
        <f>'Sm Comm Cust Fcst'!$L23*'Non-Residential TSM UC Adj'!N21</f>
        <v>0</v>
      </c>
      <c r="O22" s="23">
        <f>'Sm Comm Cust Fcst'!$L23*'Non-Residential TSM UC Adj'!O21</f>
        <v>0</v>
      </c>
      <c r="P22" s="23">
        <f>'Sm Comm Cust Fcst'!$L23*'Non-Residential TSM UC Adj'!P21</f>
        <v>0</v>
      </c>
      <c r="Q22" s="23">
        <f>IF(SUM(N22:P22)=0,0,SUM(N22:P22)/'Sm Comm Cust Fcst'!L23)</f>
        <v>0</v>
      </c>
      <c r="R22" s="137">
        <f t="shared" si="1"/>
        <v>0</v>
      </c>
      <c r="S22" s="23">
        <f t="shared" si="0"/>
        <v>0</v>
      </c>
      <c r="T22" s="23">
        <f t="shared" si="0"/>
        <v>0</v>
      </c>
      <c r="U22" s="45">
        <f>IF(SUM(R22:T22)=0,0,SUM(R22:T22)/'Sm Comm Cust Fcst'!M23)</f>
        <v>0</v>
      </c>
    </row>
    <row r="23" spans="1:21">
      <c r="A23" s="153" t="s">
        <v>14</v>
      </c>
      <c r="B23" s="137">
        <f>'Sm Comm Cust Fcst'!$I24*'Non-Residential TSM UC Adj'!J22</f>
        <v>0</v>
      </c>
      <c r="C23" s="23">
        <f>'Sm Comm Cust Fcst'!$I24*'Non-Residential TSM UC Adj'!K22</f>
        <v>0</v>
      </c>
      <c r="D23" s="23">
        <f>'Sm Comm Cust Fcst'!$I24*'Non-Residential TSM UC Adj'!L22</f>
        <v>0</v>
      </c>
      <c r="E23" s="45">
        <f>IF(SUM(B23:D23)=0,0,SUM(B23:D23)/'Sm Comm Cust Fcst'!I24)</f>
        <v>0</v>
      </c>
      <c r="F23" s="137">
        <f>'Sm Comm Cust Fcst'!$J24*'Non-Residential TSM UC Adj'!J22</f>
        <v>0</v>
      </c>
      <c r="G23" s="23">
        <f>'Sm Comm Cust Fcst'!$J24*'Non-Residential TSM UC Adj'!K22</f>
        <v>0</v>
      </c>
      <c r="H23" s="23">
        <f>'Sm Comm Cust Fcst'!$J24*'Non-Residential TSM UC Adj'!L22</f>
        <v>0</v>
      </c>
      <c r="I23" s="45">
        <f>IF(SUM(F23:H23)=0,0,SUM(F23:H23)/'Sm Comm Cust Fcst'!J24)</f>
        <v>0</v>
      </c>
      <c r="J23" s="137">
        <f>'Sm Comm Cust Fcst'!$K24*'Non-Residential TSM UC Adj'!J22</f>
        <v>0</v>
      </c>
      <c r="K23" s="23">
        <f>'Sm Comm Cust Fcst'!$K24*'Non-Residential TSM UC Adj'!K22</f>
        <v>0</v>
      </c>
      <c r="L23" s="23">
        <f>'Sm Comm Cust Fcst'!$K24*'Non-Residential TSM UC Adj'!L22</f>
        <v>0</v>
      </c>
      <c r="M23" s="45">
        <f>IF(SUM(J23:L23)=0,0,SUM(J23:L23)/'Sm Comm Cust Fcst'!K24)</f>
        <v>0</v>
      </c>
      <c r="N23" s="137">
        <f>'Sm Comm Cust Fcst'!$L24*'Non-Residential TSM UC Adj'!N22</f>
        <v>0</v>
      </c>
      <c r="O23" s="23">
        <f>'Sm Comm Cust Fcst'!$L24*'Non-Residential TSM UC Adj'!O22</f>
        <v>0</v>
      </c>
      <c r="P23" s="23">
        <f>'Sm Comm Cust Fcst'!$L24*'Non-Residential TSM UC Adj'!P22</f>
        <v>0</v>
      </c>
      <c r="Q23" s="23">
        <f>IF(SUM(N23:P23)=0,0,SUM(N23:P23)/'Sm Comm Cust Fcst'!L24)</f>
        <v>0</v>
      </c>
      <c r="R23" s="137">
        <f t="shared" si="1"/>
        <v>0</v>
      </c>
      <c r="S23" s="23">
        <f t="shared" si="0"/>
        <v>0</v>
      </c>
      <c r="T23" s="23">
        <f t="shared" si="0"/>
        <v>0</v>
      </c>
      <c r="U23" s="45">
        <f>IF(SUM(R23:T23)=0,0,SUM(R23:T23)/'Sm Comm Cust Fcst'!M24)</f>
        <v>0</v>
      </c>
    </row>
    <row r="24" spans="1:21">
      <c r="A24" s="155" t="s">
        <v>15</v>
      </c>
      <c r="B24" s="137">
        <f>'Sm Comm Cust Fcst'!$I25*'Non-Residential TSM UC Adj'!J23</f>
        <v>0</v>
      </c>
      <c r="C24" s="23">
        <f>'Sm Comm Cust Fcst'!$I25*'Non-Residential TSM UC Adj'!K23</f>
        <v>0</v>
      </c>
      <c r="D24" s="23">
        <f>'Sm Comm Cust Fcst'!$I25*'Non-Residential TSM UC Adj'!L23</f>
        <v>0</v>
      </c>
      <c r="E24" s="45">
        <f>IF(SUM(B24:D24)=0,0,SUM(B24:D24)/'Sm Comm Cust Fcst'!I25)</f>
        <v>0</v>
      </c>
      <c r="F24" s="137">
        <f>'Sm Comm Cust Fcst'!$J25*'Non-Residential TSM UC Adj'!J23</f>
        <v>0</v>
      </c>
      <c r="G24" s="23">
        <f>'Sm Comm Cust Fcst'!$J25*'Non-Residential TSM UC Adj'!K23</f>
        <v>0</v>
      </c>
      <c r="H24" s="23">
        <f>'Sm Comm Cust Fcst'!$J25*'Non-Residential TSM UC Adj'!L23</f>
        <v>0</v>
      </c>
      <c r="I24" s="45">
        <f>IF(SUM(F24:H24)=0,0,SUM(F24:H24)/'Sm Comm Cust Fcst'!J25)</f>
        <v>0</v>
      </c>
      <c r="J24" s="137">
        <f>'Sm Comm Cust Fcst'!$K25*'Non-Residential TSM UC Adj'!J23</f>
        <v>0</v>
      </c>
      <c r="K24" s="23">
        <f>'Sm Comm Cust Fcst'!$K25*'Non-Residential TSM UC Adj'!K23</f>
        <v>0</v>
      </c>
      <c r="L24" s="23">
        <f>'Sm Comm Cust Fcst'!$K25*'Non-Residential TSM UC Adj'!L23</f>
        <v>0</v>
      </c>
      <c r="M24" s="45">
        <f>IF(SUM(J24:L24)=0,0,SUM(J24:L24)/'Sm Comm Cust Fcst'!K25)</f>
        <v>0</v>
      </c>
      <c r="N24" s="137">
        <f>'Sm Comm Cust Fcst'!$L25*'Non-Residential TSM UC Adj'!N23</f>
        <v>0</v>
      </c>
      <c r="O24" s="23">
        <f>'Sm Comm Cust Fcst'!$L25*'Non-Residential TSM UC Adj'!O23</f>
        <v>0</v>
      </c>
      <c r="P24" s="23">
        <f>'Sm Comm Cust Fcst'!$L25*'Non-Residential TSM UC Adj'!P23</f>
        <v>0</v>
      </c>
      <c r="Q24" s="23">
        <f>IF(SUM(N24:P24)=0,0,SUM(N24:P24)/'Sm Comm Cust Fcst'!L25)</f>
        <v>0</v>
      </c>
      <c r="R24" s="137">
        <f t="shared" si="1"/>
        <v>0</v>
      </c>
      <c r="S24" s="23">
        <f t="shared" ref="S24:S38" si="2">C24+G24+K24+O24</f>
        <v>0</v>
      </c>
      <c r="T24" s="23">
        <f t="shared" ref="T24:T38" si="3">D24+H24+L24+P24</f>
        <v>0</v>
      </c>
      <c r="U24" s="45">
        <f>IF(SUM(R24:T24)=0,0,SUM(R24:T24)/'Sm Comm Cust Fcst'!M25)</f>
        <v>0</v>
      </c>
    </row>
    <row r="25" spans="1:21">
      <c r="A25" s="155" t="s">
        <v>16</v>
      </c>
      <c r="B25" s="137">
        <f>'Sm Comm Cust Fcst'!$I26*'Non-Residential TSM UC Adj'!J24</f>
        <v>0</v>
      </c>
      <c r="C25" s="23">
        <f>'Sm Comm Cust Fcst'!$I26*'Non-Residential TSM UC Adj'!K24</f>
        <v>0</v>
      </c>
      <c r="D25" s="23">
        <f>'Sm Comm Cust Fcst'!$I26*'Non-Residential TSM UC Adj'!L24</f>
        <v>0</v>
      </c>
      <c r="E25" s="45">
        <f>IF(SUM(B25:D25)=0,0,SUM(B25:D25)/'Sm Comm Cust Fcst'!I26)</f>
        <v>0</v>
      </c>
      <c r="F25" s="137">
        <f>'Sm Comm Cust Fcst'!$J26*'Non-Residential TSM UC Adj'!J24</f>
        <v>0</v>
      </c>
      <c r="G25" s="23">
        <f>'Sm Comm Cust Fcst'!$J26*'Non-Residential TSM UC Adj'!K24</f>
        <v>0</v>
      </c>
      <c r="H25" s="23">
        <f>'Sm Comm Cust Fcst'!$J26*'Non-Residential TSM UC Adj'!L24</f>
        <v>0</v>
      </c>
      <c r="I25" s="45">
        <f>IF(SUM(F25:H25)=0,0,SUM(F25:H25)/'Sm Comm Cust Fcst'!J26)</f>
        <v>0</v>
      </c>
      <c r="J25" s="137">
        <f>'Sm Comm Cust Fcst'!$K26*'Non-Residential TSM UC Adj'!J24</f>
        <v>0</v>
      </c>
      <c r="K25" s="23">
        <f>'Sm Comm Cust Fcst'!$K26*'Non-Residential TSM UC Adj'!K24</f>
        <v>0</v>
      </c>
      <c r="L25" s="23">
        <f>'Sm Comm Cust Fcst'!$K26*'Non-Residential TSM UC Adj'!L24</f>
        <v>0</v>
      </c>
      <c r="M25" s="45">
        <f>IF(SUM(J25:L25)=0,0,SUM(J25:L25)/'Sm Comm Cust Fcst'!K26)</f>
        <v>0</v>
      </c>
      <c r="N25" s="137">
        <f>'Sm Comm Cust Fcst'!$L26*'Non-Residential TSM UC Adj'!N24</f>
        <v>0</v>
      </c>
      <c r="O25" s="23">
        <f>'Sm Comm Cust Fcst'!$L26*'Non-Residential TSM UC Adj'!O24</f>
        <v>0</v>
      </c>
      <c r="P25" s="23">
        <f>'Sm Comm Cust Fcst'!$L26*'Non-Residential TSM UC Adj'!P24</f>
        <v>0</v>
      </c>
      <c r="Q25" s="23">
        <f>IF(SUM(N25:P25)=0,0,SUM(N25:P25)/'Sm Comm Cust Fcst'!L26)</f>
        <v>0</v>
      </c>
      <c r="R25" s="137">
        <f t="shared" si="1"/>
        <v>0</v>
      </c>
      <c r="S25" s="23">
        <f t="shared" si="2"/>
        <v>0</v>
      </c>
      <c r="T25" s="23">
        <f t="shared" si="3"/>
        <v>0</v>
      </c>
      <c r="U25" s="45">
        <f>IF(SUM(R25:T25)=0,0,SUM(R25:T25)/'Sm Comm Cust Fcst'!M26)</f>
        <v>0</v>
      </c>
    </row>
    <row r="26" spans="1:21">
      <c r="A26" s="155" t="s">
        <v>17</v>
      </c>
      <c r="B26" s="137">
        <f>'Sm Comm Cust Fcst'!$I27*'Non-Residential TSM UC Adj'!J25</f>
        <v>0</v>
      </c>
      <c r="C26" s="23">
        <f>'Sm Comm Cust Fcst'!$I27*'Non-Residential TSM UC Adj'!K25</f>
        <v>0</v>
      </c>
      <c r="D26" s="23">
        <f>'Sm Comm Cust Fcst'!$I27*'Non-Residential TSM UC Adj'!L25</f>
        <v>0</v>
      </c>
      <c r="E26" s="45">
        <f>IF(SUM(B26:D26)=0,0,SUM(B26:D26)/'Sm Comm Cust Fcst'!I27)</f>
        <v>0</v>
      </c>
      <c r="F26" s="137">
        <f>'Sm Comm Cust Fcst'!$J27*'Non-Residential TSM UC Adj'!J25</f>
        <v>0</v>
      </c>
      <c r="G26" s="23">
        <f>'Sm Comm Cust Fcst'!$J27*'Non-Residential TSM UC Adj'!K25</f>
        <v>0</v>
      </c>
      <c r="H26" s="23">
        <f>'Sm Comm Cust Fcst'!$J27*'Non-Residential TSM UC Adj'!L25</f>
        <v>0</v>
      </c>
      <c r="I26" s="45">
        <f>IF(SUM(F26:H26)=0,0,SUM(F26:H26)/'Sm Comm Cust Fcst'!J27)</f>
        <v>0</v>
      </c>
      <c r="J26" s="137">
        <f>'Sm Comm Cust Fcst'!$K27*'Non-Residential TSM UC Adj'!J25</f>
        <v>0</v>
      </c>
      <c r="K26" s="23">
        <f>'Sm Comm Cust Fcst'!$K27*'Non-Residential TSM UC Adj'!K25</f>
        <v>0</v>
      </c>
      <c r="L26" s="23">
        <f>'Sm Comm Cust Fcst'!$K27*'Non-Residential TSM UC Adj'!L25</f>
        <v>0</v>
      </c>
      <c r="M26" s="45">
        <f>IF(SUM(J26:L26)=0,0,SUM(J26:L26)/'Sm Comm Cust Fcst'!K27)</f>
        <v>0</v>
      </c>
      <c r="N26" s="137">
        <f>'Sm Comm Cust Fcst'!$L27*'Non-Residential TSM UC Adj'!N25</f>
        <v>0</v>
      </c>
      <c r="O26" s="23">
        <f>'Sm Comm Cust Fcst'!$L27*'Non-Residential TSM UC Adj'!O25</f>
        <v>0</v>
      </c>
      <c r="P26" s="23">
        <f>'Sm Comm Cust Fcst'!$L27*'Non-Residential TSM UC Adj'!P25</f>
        <v>0</v>
      </c>
      <c r="Q26" s="23">
        <f>IF(SUM(N26:P26)=0,0,SUM(N26:P26)/'Sm Comm Cust Fcst'!L27)</f>
        <v>0</v>
      </c>
      <c r="R26" s="137">
        <f t="shared" si="1"/>
        <v>0</v>
      </c>
      <c r="S26" s="23">
        <f t="shared" si="2"/>
        <v>0</v>
      </c>
      <c r="T26" s="23">
        <f t="shared" si="3"/>
        <v>0</v>
      </c>
      <c r="U26" s="45">
        <f>IF(SUM(R26:T26)=0,0,SUM(R26:T26)/'Sm Comm Cust Fcst'!M27)</f>
        <v>0</v>
      </c>
    </row>
    <row r="27" spans="1:21">
      <c r="A27" s="155" t="s">
        <v>18</v>
      </c>
      <c r="B27" s="137">
        <f>'Sm Comm Cust Fcst'!$I28*'Non-Residential TSM UC Adj'!J26</f>
        <v>0</v>
      </c>
      <c r="C27" s="23">
        <f>'Sm Comm Cust Fcst'!$I28*'Non-Residential TSM UC Adj'!K26</f>
        <v>0</v>
      </c>
      <c r="D27" s="23">
        <f>'Sm Comm Cust Fcst'!$I28*'Non-Residential TSM UC Adj'!L26</f>
        <v>0</v>
      </c>
      <c r="E27" s="45">
        <f>IF(SUM(B27:D27)=0,0,SUM(B27:D27)/'Sm Comm Cust Fcst'!I28)</f>
        <v>0</v>
      </c>
      <c r="F27" s="137">
        <f>'Sm Comm Cust Fcst'!$J28*'Non-Residential TSM UC Adj'!J26</f>
        <v>0</v>
      </c>
      <c r="G27" s="23">
        <f>'Sm Comm Cust Fcst'!$J28*'Non-Residential TSM UC Adj'!K26</f>
        <v>0</v>
      </c>
      <c r="H27" s="23">
        <f>'Sm Comm Cust Fcst'!$J28*'Non-Residential TSM UC Adj'!L26</f>
        <v>0</v>
      </c>
      <c r="I27" s="45">
        <f>IF(SUM(F27:H27)=0,0,SUM(F27:H27)/'Sm Comm Cust Fcst'!J28)</f>
        <v>0</v>
      </c>
      <c r="J27" s="137">
        <f>'Sm Comm Cust Fcst'!$K28*'Non-Residential TSM UC Adj'!J26</f>
        <v>0</v>
      </c>
      <c r="K27" s="23">
        <f>'Sm Comm Cust Fcst'!$K28*'Non-Residential TSM UC Adj'!K26</f>
        <v>0</v>
      </c>
      <c r="L27" s="23">
        <f>'Sm Comm Cust Fcst'!$K28*'Non-Residential TSM UC Adj'!L26</f>
        <v>0</v>
      </c>
      <c r="M27" s="45">
        <f>IF(SUM(J27:L27)=0,0,SUM(J27:L27)/'Sm Comm Cust Fcst'!K28)</f>
        <v>0</v>
      </c>
      <c r="N27" s="137">
        <f>'Sm Comm Cust Fcst'!$L28*'Non-Residential TSM UC Adj'!N26</f>
        <v>0</v>
      </c>
      <c r="O27" s="23">
        <f>'Sm Comm Cust Fcst'!$L28*'Non-Residential TSM UC Adj'!O26</f>
        <v>0</v>
      </c>
      <c r="P27" s="23">
        <f>'Sm Comm Cust Fcst'!$L28*'Non-Residential TSM UC Adj'!P26</f>
        <v>0</v>
      </c>
      <c r="Q27" s="23">
        <f>IF(SUM(N27:P27)=0,0,SUM(N27:P27)/'Sm Comm Cust Fcst'!L28)</f>
        <v>0</v>
      </c>
      <c r="R27" s="137">
        <f t="shared" si="1"/>
        <v>0</v>
      </c>
      <c r="S27" s="23">
        <f t="shared" si="2"/>
        <v>0</v>
      </c>
      <c r="T27" s="23">
        <f t="shared" si="3"/>
        <v>0</v>
      </c>
      <c r="U27" s="45">
        <f>IF(SUM(R27:T27)=0,0,SUM(R27:T27)/'Sm Comm Cust Fcst'!M28)</f>
        <v>0</v>
      </c>
    </row>
    <row r="28" spans="1:21">
      <c r="A28" s="155" t="s">
        <v>19</v>
      </c>
      <c r="B28" s="137">
        <f>'Sm Comm Cust Fcst'!$I29*'Non-Residential TSM UC Adj'!J27</f>
        <v>0</v>
      </c>
      <c r="C28" s="23">
        <f>'Sm Comm Cust Fcst'!$I29*'Non-Residential TSM UC Adj'!K27</f>
        <v>0</v>
      </c>
      <c r="D28" s="23">
        <f>'Sm Comm Cust Fcst'!$I29*'Non-Residential TSM UC Adj'!L27</f>
        <v>0</v>
      </c>
      <c r="E28" s="45">
        <f>IF(SUM(B28:D28)=0,0,SUM(B28:D28)/'Sm Comm Cust Fcst'!I29)</f>
        <v>0</v>
      </c>
      <c r="F28" s="137">
        <f>'Sm Comm Cust Fcst'!$J29*'Non-Residential TSM UC Adj'!J27</f>
        <v>0</v>
      </c>
      <c r="G28" s="23">
        <f>'Sm Comm Cust Fcst'!$J29*'Non-Residential TSM UC Adj'!K27</f>
        <v>0</v>
      </c>
      <c r="H28" s="23">
        <f>'Sm Comm Cust Fcst'!$J29*'Non-Residential TSM UC Adj'!L27</f>
        <v>0</v>
      </c>
      <c r="I28" s="45">
        <f>IF(SUM(F28:H28)=0,0,SUM(F28:H28)/'Sm Comm Cust Fcst'!J29)</f>
        <v>0</v>
      </c>
      <c r="J28" s="137">
        <f>'Sm Comm Cust Fcst'!$K29*'Non-Residential TSM UC Adj'!J27</f>
        <v>0</v>
      </c>
      <c r="K28" s="23">
        <f>'Sm Comm Cust Fcst'!$K29*'Non-Residential TSM UC Adj'!K27</f>
        <v>0</v>
      </c>
      <c r="L28" s="23">
        <f>'Sm Comm Cust Fcst'!$K29*'Non-Residential TSM UC Adj'!L27</f>
        <v>0</v>
      </c>
      <c r="M28" s="45">
        <f>IF(SUM(J28:L28)=0,0,SUM(J28:L28)/'Sm Comm Cust Fcst'!K29)</f>
        <v>0</v>
      </c>
      <c r="N28" s="137">
        <f>'Sm Comm Cust Fcst'!$L29*'Non-Residential TSM UC Adj'!N27</f>
        <v>0</v>
      </c>
      <c r="O28" s="23">
        <f>'Sm Comm Cust Fcst'!$L29*'Non-Residential TSM UC Adj'!O27</f>
        <v>0</v>
      </c>
      <c r="P28" s="23">
        <f>'Sm Comm Cust Fcst'!$L29*'Non-Residential TSM UC Adj'!P27</f>
        <v>0</v>
      </c>
      <c r="Q28" s="23">
        <f>IF(SUM(N28:P28)=0,0,SUM(N28:P28)/'Sm Comm Cust Fcst'!L29)</f>
        <v>0</v>
      </c>
      <c r="R28" s="137">
        <f t="shared" si="1"/>
        <v>0</v>
      </c>
      <c r="S28" s="23">
        <f t="shared" si="2"/>
        <v>0</v>
      </c>
      <c r="T28" s="23">
        <f t="shared" si="3"/>
        <v>0</v>
      </c>
      <c r="U28" s="45">
        <f>IF(SUM(R28:T28)=0,0,SUM(R28:T28)/'Sm Comm Cust Fcst'!M29)</f>
        <v>0</v>
      </c>
    </row>
    <row r="29" spans="1:21">
      <c r="A29" s="155" t="s">
        <v>20</v>
      </c>
      <c r="B29" s="137">
        <f>'Sm Comm Cust Fcst'!$I30*'Non-Residential TSM UC Adj'!J28</f>
        <v>0</v>
      </c>
      <c r="C29" s="23">
        <f>'Sm Comm Cust Fcst'!$I30*'Non-Residential TSM UC Adj'!K28</f>
        <v>0</v>
      </c>
      <c r="D29" s="23">
        <f>'Sm Comm Cust Fcst'!$I30*'Non-Residential TSM UC Adj'!L28</f>
        <v>0</v>
      </c>
      <c r="E29" s="45">
        <f>IF(SUM(B29:D29)=0,0,SUM(B29:D29)/'Sm Comm Cust Fcst'!I30)</f>
        <v>0</v>
      </c>
      <c r="F29" s="137">
        <f>'Sm Comm Cust Fcst'!$J30*'Non-Residential TSM UC Adj'!J28</f>
        <v>0</v>
      </c>
      <c r="G29" s="23">
        <f>'Sm Comm Cust Fcst'!$J30*'Non-Residential TSM UC Adj'!K28</f>
        <v>0</v>
      </c>
      <c r="H29" s="23">
        <f>'Sm Comm Cust Fcst'!$J30*'Non-Residential TSM UC Adj'!L28</f>
        <v>0</v>
      </c>
      <c r="I29" s="45">
        <f>IF(SUM(F29:H29)=0,0,SUM(F29:H29)/'Sm Comm Cust Fcst'!J30)</f>
        <v>0</v>
      </c>
      <c r="J29" s="137">
        <f>'Sm Comm Cust Fcst'!$K30*'Non-Residential TSM UC Adj'!J28</f>
        <v>0</v>
      </c>
      <c r="K29" s="23">
        <f>'Sm Comm Cust Fcst'!$K30*'Non-Residential TSM UC Adj'!K28</f>
        <v>0</v>
      </c>
      <c r="L29" s="23">
        <f>'Sm Comm Cust Fcst'!$K30*'Non-Residential TSM UC Adj'!L28</f>
        <v>0</v>
      </c>
      <c r="M29" s="45">
        <f>IF(SUM(J29:L29)=0,0,SUM(J29:L29)/'Sm Comm Cust Fcst'!K30)</f>
        <v>0</v>
      </c>
      <c r="N29" s="137">
        <f>'Sm Comm Cust Fcst'!$L30*'Non-Residential TSM UC Adj'!N28</f>
        <v>0</v>
      </c>
      <c r="O29" s="23">
        <f>'Sm Comm Cust Fcst'!$L30*'Non-Residential TSM UC Adj'!O28</f>
        <v>0</v>
      </c>
      <c r="P29" s="23">
        <f>'Sm Comm Cust Fcst'!$L30*'Non-Residential TSM UC Adj'!P28</f>
        <v>0</v>
      </c>
      <c r="Q29" s="23">
        <f>IF(SUM(N29:P29)=0,0,SUM(N29:P29)/'Sm Comm Cust Fcst'!L30)</f>
        <v>0</v>
      </c>
      <c r="R29" s="137">
        <f t="shared" si="1"/>
        <v>0</v>
      </c>
      <c r="S29" s="23">
        <f t="shared" si="2"/>
        <v>0</v>
      </c>
      <c r="T29" s="23">
        <f t="shared" si="3"/>
        <v>0</v>
      </c>
      <c r="U29" s="45">
        <f>IF(SUM(R29:T29)=0,0,SUM(R29:T29)/'Sm Comm Cust Fcst'!M30)</f>
        <v>0</v>
      </c>
    </row>
    <row r="30" spans="1:21">
      <c r="A30" s="155" t="s">
        <v>21</v>
      </c>
      <c r="B30" s="137">
        <f>'Sm Comm Cust Fcst'!$I31*'Non-Residential TSM UC Adj'!J29</f>
        <v>0</v>
      </c>
      <c r="C30" s="23">
        <f>'Sm Comm Cust Fcst'!$I31*'Non-Residential TSM UC Adj'!K29</f>
        <v>0</v>
      </c>
      <c r="D30" s="23">
        <f>'Sm Comm Cust Fcst'!$I31*'Non-Residential TSM UC Adj'!L29</f>
        <v>0</v>
      </c>
      <c r="E30" s="45">
        <f>IF(SUM(B30:D30)=0,0,SUM(B30:D30)/'Sm Comm Cust Fcst'!I31)</f>
        <v>0</v>
      </c>
      <c r="F30" s="137">
        <f>'Sm Comm Cust Fcst'!$J31*'Non-Residential TSM UC Adj'!J29</f>
        <v>0</v>
      </c>
      <c r="G30" s="23">
        <f>'Sm Comm Cust Fcst'!$J31*'Non-Residential TSM UC Adj'!K29</f>
        <v>0</v>
      </c>
      <c r="H30" s="23">
        <f>'Sm Comm Cust Fcst'!$J31*'Non-Residential TSM UC Adj'!L29</f>
        <v>0</v>
      </c>
      <c r="I30" s="45">
        <f>IF(SUM(F30:H30)=0,0,SUM(F30:H30)/'Sm Comm Cust Fcst'!J31)</f>
        <v>0</v>
      </c>
      <c r="J30" s="137">
        <f>'Sm Comm Cust Fcst'!$K31*'Non-Residential TSM UC Adj'!J29</f>
        <v>0</v>
      </c>
      <c r="K30" s="23">
        <f>'Sm Comm Cust Fcst'!$K31*'Non-Residential TSM UC Adj'!K29</f>
        <v>0</v>
      </c>
      <c r="L30" s="23">
        <f>'Sm Comm Cust Fcst'!$K31*'Non-Residential TSM UC Adj'!L29</f>
        <v>0</v>
      </c>
      <c r="M30" s="45">
        <f>IF(SUM(J30:L30)=0,0,SUM(J30:L30)/'Sm Comm Cust Fcst'!K31)</f>
        <v>0</v>
      </c>
      <c r="N30" s="137">
        <f>'Sm Comm Cust Fcst'!$L31*'Non-Residential TSM UC Adj'!N29</f>
        <v>0</v>
      </c>
      <c r="O30" s="23">
        <f>'Sm Comm Cust Fcst'!$L31*'Non-Residential TSM UC Adj'!O29</f>
        <v>0</v>
      </c>
      <c r="P30" s="23">
        <f>'Sm Comm Cust Fcst'!$L31*'Non-Residential TSM UC Adj'!P29</f>
        <v>0</v>
      </c>
      <c r="Q30" s="23">
        <f>IF(SUM(N30:P30)=0,0,SUM(N30:P30)/'Sm Comm Cust Fcst'!L31)</f>
        <v>0</v>
      </c>
      <c r="R30" s="137">
        <f t="shared" si="1"/>
        <v>0</v>
      </c>
      <c r="S30" s="23">
        <f t="shared" si="2"/>
        <v>0</v>
      </c>
      <c r="T30" s="23">
        <f t="shared" si="3"/>
        <v>0</v>
      </c>
      <c r="U30" s="45">
        <f>IF(SUM(R30:T30)=0,0,SUM(R30:T30)/'Sm Comm Cust Fcst'!M31)</f>
        <v>0</v>
      </c>
    </row>
    <row r="31" spans="1:21">
      <c r="A31" s="155" t="s">
        <v>22</v>
      </c>
      <c r="B31" s="137">
        <f>'Sm Comm Cust Fcst'!$I32*'Non-Residential TSM UC Adj'!J30</f>
        <v>0</v>
      </c>
      <c r="C31" s="23">
        <f>'Sm Comm Cust Fcst'!$I32*'Non-Residential TSM UC Adj'!K30</f>
        <v>0</v>
      </c>
      <c r="D31" s="23">
        <f>'Sm Comm Cust Fcst'!$I32*'Non-Residential TSM UC Adj'!L30</f>
        <v>0</v>
      </c>
      <c r="E31" s="45">
        <f>IF(SUM(B31:D31)=0,0,SUM(B31:D31)/'Sm Comm Cust Fcst'!I32)</f>
        <v>0</v>
      </c>
      <c r="F31" s="137">
        <f>'Sm Comm Cust Fcst'!$J32*'Non-Residential TSM UC Adj'!J30</f>
        <v>0</v>
      </c>
      <c r="G31" s="23">
        <f>'Sm Comm Cust Fcst'!$J32*'Non-Residential TSM UC Adj'!K30</f>
        <v>0</v>
      </c>
      <c r="H31" s="23">
        <f>'Sm Comm Cust Fcst'!$J32*'Non-Residential TSM UC Adj'!L30</f>
        <v>0</v>
      </c>
      <c r="I31" s="45">
        <f>IF(SUM(F31:H31)=0,0,SUM(F31:H31)/'Sm Comm Cust Fcst'!J32)</f>
        <v>0</v>
      </c>
      <c r="J31" s="137">
        <f>'Sm Comm Cust Fcst'!$K32*'Non-Residential TSM UC Adj'!J30</f>
        <v>0</v>
      </c>
      <c r="K31" s="23">
        <f>'Sm Comm Cust Fcst'!$K32*'Non-Residential TSM UC Adj'!K30</f>
        <v>0</v>
      </c>
      <c r="L31" s="23">
        <f>'Sm Comm Cust Fcst'!$K32*'Non-Residential TSM UC Adj'!L30</f>
        <v>0</v>
      </c>
      <c r="M31" s="45">
        <f>IF(SUM(J31:L31)=0,0,SUM(J31:L31)/'Sm Comm Cust Fcst'!K32)</f>
        <v>0</v>
      </c>
      <c r="N31" s="137">
        <f>'Sm Comm Cust Fcst'!$L32*'Non-Residential TSM UC Adj'!N30</f>
        <v>0</v>
      </c>
      <c r="O31" s="23">
        <f>'Sm Comm Cust Fcst'!$L32*'Non-Residential TSM UC Adj'!O30</f>
        <v>0</v>
      </c>
      <c r="P31" s="23">
        <f>'Sm Comm Cust Fcst'!$L32*'Non-Residential TSM UC Adj'!P30</f>
        <v>0</v>
      </c>
      <c r="Q31" s="23">
        <f>IF(SUM(N31:P31)=0,0,SUM(N31:P31)/'Sm Comm Cust Fcst'!L32)</f>
        <v>0</v>
      </c>
      <c r="R31" s="137">
        <f t="shared" si="1"/>
        <v>0</v>
      </c>
      <c r="S31" s="23">
        <f t="shared" si="2"/>
        <v>0</v>
      </c>
      <c r="T31" s="23">
        <f t="shared" si="3"/>
        <v>0</v>
      </c>
      <c r="U31" s="45">
        <f>IF(SUM(R31:T31)=0,0,SUM(R31:T31)/'Sm Comm Cust Fcst'!M32)</f>
        <v>0</v>
      </c>
    </row>
    <row r="32" spans="1:21">
      <c r="A32" s="153" t="s">
        <v>23</v>
      </c>
      <c r="B32" s="137">
        <f>'Sm Comm Cust Fcst'!$I33*'Non-Residential TSM UC Adj'!J31</f>
        <v>0</v>
      </c>
      <c r="C32" s="23">
        <f>'Sm Comm Cust Fcst'!$I33*'Non-Residential TSM UC Adj'!K31</f>
        <v>0</v>
      </c>
      <c r="D32" s="23">
        <f>'Sm Comm Cust Fcst'!$I33*'Non-Residential TSM UC Adj'!L31</f>
        <v>0</v>
      </c>
      <c r="E32" s="45">
        <f>IF(SUM(B32:D32)=0,0,SUM(B32:D32)/'Sm Comm Cust Fcst'!I33)</f>
        <v>0</v>
      </c>
      <c r="F32" s="137">
        <f>'Sm Comm Cust Fcst'!$J33*'Non-Residential TSM UC Adj'!J31</f>
        <v>0</v>
      </c>
      <c r="G32" s="23">
        <f>'Sm Comm Cust Fcst'!$J33*'Non-Residential TSM UC Adj'!K31</f>
        <v>0</v>
      </c>
      <c r="H32" s="23">
        <f>'Sm Comm Cust Fcst'!$J33*'Non-Residential TSM UC Adj'!L31</f>
        <v>0</v>
      </c>
      <c r="I32" s="45">
        <f>IF(SUM(F32:H32)=0,0,SUM(F32:H32)/'Sm Comm Cust Fcst'!J33)</f>
        <v>0</v>
      </c>
      <c r="J32" s="137">
        <f>'Sm Comm Cust Fcst'!$K33*'Non-Residential TSM UC Adj'!J31</f>
        <v>0</v>
      </c>
      <c r="K32" s="23">
        <f>'Sm Comm Cust Fcst'!$K33*'Non-Residential TSM UC Adj'!K31</f>
        <v>0</v>
      </c>
      <c r="L32" s="23">
        <f>'Sm Comm Cust Fcst'!$K33*'Non-Residential TSM UC Adj'!L31</f>
        <v>0</v>
      </c>
      <c r="M32" s="45">
        <f>IF(SUM(J32:L32)=0,0,SUM(J32:L32)/'Sm Comm Cust Fcst'!K33)</f>
        <v>0</v>
      </c>
      <c r="N32" s="137">
        <f>'Sm Comm Cust Fcst'!$L33*'Non-Residential TSM UC Adj'!N31</f>
        <v>0</v>
      </c>
      <c r="O32" s="23">
        <f>'Sm Comm Cust Fcst'!$L33*'Non-Residential TSM UC Adj'!O31</f>
        <v>0</v>
      </c>
      <c r="P32" s="23">
        <f>'Sm Comm Cust Fcst'!$L33*'Non-Residential TSM UC Adj'!P31</f>
        <v>0</v>
      </c>
      <c r="Q32" s="23">
        <f>IF(SUM(N32:P32)=0,0,SUM(N32:P32)/'Sm Comm Cust Fcst'!L33)</f>
        <v>0</v>
      </c>
      <c r="R32" s="137">
        <f t="shared" si="1"/>
        <v>0</v>
      </c>
      <c r="S32" s="23">
        <f t="shared" si="2"/>
        <v>0</v>
      </c>
      <c r="T32" s="23">
        <f t="shared" si="3"/>
        <v>0</v>
      </c>
      <c r="U32" s="45">
        <f>IF(SUM(R32:T32)=0,0,SUM(R32:T32)/'Sm Comm Cust Fcst'!M33)</f>
        <v>0</v>
      </c>
    </row>
    <row r="33" spans="1:21">
      <c r="A33" s="153" t="s">
        <v>24</v>
      </c>
      <c r="B33" s="137">
        <f>'Sm Comm Cust Fcst'!$I34*'Non-Residential TSM UC Adj'!J32</f>
        <v>0</v>
      </c>
      <c r="C33" s="23">
        <f>'Sm Comm Cust Fcst'!$I34*'Non-Residential TSM UC Adj'!K32</f>
        <v>0</v>
      </c>
      <c r="D33" s="23">
        <f>'Sm Comm Cust Fcst'!$I34*'Non-Residential TSM UC Adj'!L32</f>
        <v>0</v>
      </c>
      <c r="E33" s="45">
        <f>IF(SUM(B33:D33)=0,0,SUM(B33:D33)/'Sm Comm Cust Fcst'!I34)</f>
        <v>0</v>
      </c>
      <c r="F33" s="137">
        <f>'Sm Comm Cust Fcst'!$J34*'Non-Residential TSM UC Adj'!J32</f>
        <v>0</v>
      </c>
      <c r="G33" s="23">
        <f>'Sm Comm Cust Fcst'!$J34*'Non-Residential TSM UC Adj'!K32</f>
        <v>0</v>
      </c>
      <c r="H33" s="23">
        <f>'Sm Comm Cust Fcst'!$J34*'Non-Residential TSM UC Adj'!L32</f>
        <v>0</v>
      </c>
      <c r="I33" s="45">
        <f>IF(SUM(F33:H33)=0,0,SUM(F33:H33)/'Sm Comm Cust Fcst'!J34)</f>
        <v>0</v>
      </c>
      <c r="J33" s="137">
        <f>'Sm Comm Cust Fcst'!$K34*'Non-Residential TSM UC Adj'!J32</f>
        <v>0</v>
      </c>
      <c r="K33" s="23">
        <f>'Sm Comm Cust Fcst'!$K34*'Non-Residential TSM UC Adj'!K32</f>
        <v>0</v>
      </c>
      <c r="L33" s="23">
        <f>'Sm Comm Cust Fcst'!$K34*'Non-Residential TSM UC Adj'!L32</f>
        <v>0</v>
      </c>
      <c r="M33" s="45">
        <f>IF(SUM(J33:L33)=0,0,SUM(J33:L33)/'Sm Comm Cust Fcst'!K34)</f>
        <v>0</v>
      </c>
      <c r="N33" s="137">
        <f>'Sm Comm Cust Fcst'!$L34*'Non-Residential TSM UC Adj'!N32</f>
        <v>0</v>
      </c>
      <c r="O33" s="23">
        <f>'Sm Comm Cust Fcst'!$L34*'Non-Residential TSM UC Adj'!O32</f>
        <v>0</v>
      </c>
      <c r="P33" s="23">
        <f>'Sm Comm Cust Fcst'!$L34*'Non-Residential TSM UC Adj'!P32</f>
        <v>0</v>
      </c>
      <c r="Q33" s="23">
        <f>IF(SUM(N33:P33)=0,0,SUM(N33:P33)/'Sm Comm Cust Fcst'!L34)</f>
        <v>0</v>
      </c>
      <c r="R33" s="137">
        <f t="shared" si="1"/>
        <v>0</v>
      </c>
      <c r="S33" s="23">
        <f t="shared" si="2"/>
        <v>0</v>
      </c>
      <c r="T33" s="23">
        <f t="shared" si="3"/>
        <v>0</v>
      </c>
      <c r="U33" s="45">
        <f>IF(SUM(R33:T33)=0,0,SUM(R33:T33)/'Sm Comm Cust Fcst'!M34)</f>
        <v>0</v>
      </c>
    </row>
    <row r="34" spans="1:21">
      <c r="A34" s="153" t="s">
        <v>25</v>
      </c>
      <c r="B34" s="137">
        <f>'Sm Comm Cust Fcst'!$I35*'Non-Residential TSM UC Adj'!J33</f>
        <v>0</v>
      </c>
      <c r="C34" s="23">
        <f>'Sm Comm Cust Fcst'!$I35*'Non-Residential TSM UC Adj'!K33</f>
        <v>0</v>
      </c>
      <c r="D34" s="23">
        <f>'Sm Comm Cust Fcst'!$I35*'Non-Residential TSM UC Adj'!L33</f>
        <v>0</v>
      </c>
      <c r="E34" s="45">
        <f>IF(SUM(B34:D34)=0,0,SUM(B34:D34)/'Sm Comm Cust Fcst'!I35)</f>
        <v>0</v>
      </c>
      <c r="F34" s="137">
        <f>'Sm Comm Cust Fcst'!$J35*'Non-Residential TSM UC Adj'!J33</f>
        <v>0</v>
      </c>
      <c r="G34" s="23">
        <f>'Sm Comm Cust Fcst'!$J35*'Non-Residential TSM UC Adj'!K33</f>
        <v>0</v>
      </c>
      <c r="H34" s="23">
        <f>'Sm Comm Cust Fcst'!$J35*'Non-Residential TSM UC Adj'!L33</f>
        <v>0</v>
      </c>
      <c r="I34" s="45">
        <f>IF(SUM(F34:H34)=0,0,SUM(F34:H34)/'Sm Comm Cust Fcst'!J35)</f>
        <v>0</v>
      </c>
      <c r="J34" s="137">
        <f>'Sm Comm Cust Fcst'!$K35*'Non-Residential TSM UC Adj'!J33</f>
        <v>0</v>
      </c>
      <c r="K34" s="23">
        <f>'Sm Comm Cust Fcst'!$K35*'Non-Residential TSM UC Adj'!K33</f>
        <v>0</v>
      </c>
      <c r="L34" s="23">
        <f>'Sm Comm Cust Fcst'!$K35*'Non-Residential TSM UC Adj'!L33</f>
        <v>0</v>
      </c>
      <c r="M34" s="45">
        <f>IF(SUM(J34:L34)=0,0,SUM(J34:L34)/'Sm Comm Cust Fcst'!K35)</f>
        <v>0</v>
      </c>
      <c r="N34" s="137">
        <f>'Sm Comm Cust Fcst'!$L35*'Non-Residential TSM UC Adj'!N33</f>
        <v>0</v>
      </c>
      <c r="O34" s="23">
        <f>'Sm Comm Cust Fcst'!$L35*'Non-Residential TSM UC Adj'!O33</f>
        <v>0</v>
      </c>
      <c r="P34" s="23">
        <f>'Sm Comm Cust Fcst'!$L35*'Non-Residential TSM UC Adj'!P33</f>
        <v>0</v>
      </c>
      <c r="Q34" s="23">
        <f>IF(SUM(N34:P34)=0,0,SUM(N34:P34)/'Sm Comm Cust Fcst'!L35)</f>
        <v>0</v>
      </c>
      <c r="R34" s="137">
        <f t="shared" si="1"/>
        <v>0</v>
      </c>
      <c r="S34" s="23">
        <f t="shared" si="2"/>
        <v>0</v>
      </c>
      <c r="T34" s="23">
        <f t="shared" si="3"/>
        <v>0</v>
      </c>
      <c r="U34" s="45">
        <f>IF(SUM(R34:T34)=0,0,SUM(R34:T34)/'Sm Comm Cust Fcst'!M35)</f>
        <v>0</v>
      </c>
    </row>
    <row r="35" spans="1:21">
      <c r="A35" s="153" t="s">
        <v>125</v>
      </c>
      <c r="B35" s="137">
        <f>'Sm Comm Cust Fcst'!$I36*'Non-Residential TSM UC Adj'!J34</f>
        <v>0</v>
      </c>
      <c r="C35" s="23">
        <f>'Sm Comm Cust Fcst'!$I36*'Non-Residential TSM UC Adj'!K34</f>
        <v>0</v>
      </c>
      <c r="D35" s="23">
        <f>'Sm Comm Cust Fcst'!$I36*'Non-Residential TSM UC Adj'!L34</f>
        <v>0</v>
      </c>
      <c r="E35" s="45">
        <f>IF(SUM(B35:D35)=0,0,SUM(B35:D35)/'Sm Comm Cust Fcst'!I36)</f>
        <v>0</v>
      </c>
      <c r="F35" s="137">
        <f>'Sm Comm Cust Fcst'!$J36*'Non-Residential TSM UC Adj'!J34</f>
        <v>0</v>
      </c>
      <c r="G35" s="23">
        <f>'Sm Comm Cust Fcst'!$J36*'Non-Residential TSM UC Adj'!K34</f>
        <v>0</v>
      </c>
      <c r="H35" s="23">
        <f>'Sm Comm Cust Fcst'!$J36*'Non-Residential TSM UC Adj'!L34</f>
        <v>0</v>
      </c>
      <c r="I35" s="45">
        <f>IF(SUM(F35:H35)=0,0,SUM(F35:H35)/'Sm Comm Cust Fcst'!J36)</f>
        <v>0</v>
      </c>
      <c r="J35" s="137">
        <f>'Sm Comm Cust Fcst'!$K36*'Non-Residential TSM UC Adj'!J34</f>
        <v>0</v>
      </c>
      <c r="K35" s="23">
        <f>'Sm Comm Cust Fcst'!$K36*'Non-Residential TSM UC Adj'!K34</f>
        <v>0</v>
      </c>
      <c r="L35" s="23">
        <f>'Sm Comm Cust Fcst'!$K36*'Non-Residential TSM UC Adj'!L34</f>
        <v>0</v>
      </c>
      <c r="M35" s="45">
        <f>IF(SUM(J35:L35)=0,0,SUM(J35:L35)/'Sm Comm Cust Fcst'!K36)</f>
        <v>0</v>
      </c>
      <c r="N35" s="137">
        <f>'Sm Comm Cust Fcst'!$L36*'Non-Residential TSM UC Adj'!N34</f>
        <v>0</v>
      </c>
      <c r="O35" s="23">
        <f>'Sm Comm Cust Fcst'!$L36*'Non-Residential TSM UC Adj'!O34</f>
        <v>0</v>
      </c>
      <c r="P35" s="23">
        <f>'Sm Comm Cust Fcst'!$L36*'Non-Residential TSM UC Adj'!P34</f>
        <v>0</v>
      </c>
      <c r="Q35" s="23">
        <f>IF(SUM(N35:P35)=0,0,SUM(N35:P35)/'Sm Comm Cust Fcst'!L36)</f>
        <v>0</v>
      </c>
      <c r="R35" s="137">
        <f t="shared" si="1"/>
        <v>0</v>
      </c>
      <c r="S35" s="23">
        <f t="shared" si="2"/>
        <v>0</v>
      </c>
      <c r="T35" s="23">
        <f t="shared" si="3"/>
        <v>0</v>
      </c>
      <c r="U35" s="45">
        <f>IF(SUM(R35:T35)=0,0,SUM(R35:T35)/'Sm Comm Cust Fcst'!M36)</f>
        <v>0</v>
      </c>
    </row>
    <row r="36" spans="1:21">
      <c r="A36" s="153" t="s">
        <v>126</v>
      </c>
      <c r="B36" s="137">
        <f>'Sm Comm Cust Fcst'!$I37*'Non-Residential TSM UC Adj'!J35</f>
        <v>0</v>
      </c>
      <c r="C36" s="23">
        <f>'Sm Comm Cust Fcst'!$I37*'Non-Residential TSM UC Adj'!K35</f>
        <v>0</v>
      </c>
      <c r="D36" s="23">
        <f>'Sm Comm Cust Fcst'!$I37*'Non-Residential TSM UC Adj'!L35</f>
        <v>0</v>
      </c>
      <c r="E36" s="45">
        <f>IF(SUM(B36:D36)=0,0,SUM(B36:D36)/'Sm Comm Cust Fcst'!I37)</f>
        <v>0</v>
      </c>
      <c r="F36" s="137">
        <f>'Sm Comm Cust Fcst'!$J37*'Non-Residential TSM UC Adj'!J35</f>
        <v>0</v>
      </c>
      <c r="G36" s="23">
        <f>'Sm Comm Cust Fcst'!$J37*'Non-Residential TSM UC Adj'!K35</f>
        <v>0</v>
      </c>
      <c r="H36" s="23">
        <f>'Sm Comm Cust Fcst'!$J37*'Non-Residential TSM UC Adj'!L35</f>
        <v>0</v>
      </c>
      <c r="I36" s="45">
        <f>IF(SUM(F36:H36)=0,0,SUM(F36:H36)/'Sm Comm Cust Fcst'!J37)</f>
        <v>0</v>
      </c>
      <c r="J36" s="137">
        <f>'Sm Comm Cust Fcst'!$K37*'Non-Residential TSM UC Adj'!J35</f>
        <v>0</v>
      </c>
      <c r="K36" s="23">
        <f>'Sm Comm Cust Fcst'!$K37*'Non-Residential TSM UC Adj'!K35</f>
        <v>0</v>
      </c>
      <c r="L36" s="23">
        <f>'Sm Comm Cust Fcst'!$K37*'Non-Residential TSM UC Adj'!L35</f>
        <v>0</v>
      </c>
      <c r="M36" s="45">
        <f>IF(SUM(J36:L36)=0,0,SUM(J36:L36)/'Sm Comm Cust Fcst'!K37)</f>
        <v>0</v>
      </c>
      <c r="N36" s="137">
        <f>'Sm Comm Cust Fcst'!$L37*'Non-Residential TSM UC Adj'!N35</f>
        <v>0</v>
      </c>
      <c r="O36" s="23">
        <f>'Sm Comm Cust Fcst'!$L37*'Non-Residential TSM UC Adj'!O35</f>
        <v>0</v>
      </c>
      <c r="P36" s="23">
        <f>'Sm Comm Cust Fcst'!$L37*'Non-Residential TSM UC Adj'!P35</f>
        <v>0</v>
      </c>
      <c r="Q36" s="23">
        <f>IF(SUM(N36:P36)=0,0,SUM(N36:P36)/'Sm Comm Cust Fcst'!L37)</f>
        <v>0</v>
      </c>
      <c r="R36" s="137">
        <f t="shared" si="1"/>
        <v>0</v>
      </c>
      <c r="S36" s="23">
        <f t="shared" si="2"/>
        <v>0</v>
      </c>
      <c r="T36" s="23">
        <f t="shared" si="3"/>
        <v>0</v>
      </c>
      <c r="U36" s="45">
        <f>IF(SUM(R36:T36)=0,0,SUM(R36:T36)/'Sm Comm Cust Fcst'!M37)</f>
        <v>0</v>
      </c>
    </row>
    <row r="37" spans="1:21">
      <c r="A37" s="155" t="s">
        <v>26</v>
      </c>
      <c r="B37" s="137">
        <f>'Sm Comm Cust Fcst'!$I38*'Non-Residential TSM UC Adj'!J36</f>
        <v>0</v>
      </c>
      <c r="C37" s="23">
        <f>'Sm Comm Cust Fcst'!$I38*'Non-Residential TSM UC Adj'!K36</f>
        <v>0</v>
      </c>
      <c r="D37" s="23">
        <f>'Sm Comm Cust Fcst'!$I38*'Non-Residential TSM UC Adj'!L36</f>
        <v>0</v>
      </c>
      <c r="E37" s="45">
        <f>IF(SUM(B37:D37)=0,0,SUM(B37:D37)/'Sm Comm Cust Fcst'!I38)</f>
        <v>0</v>
      </c>
      <c r="F37" s="137">
        <f>'Sm Comm Cust Fcst'!$J38*'Non-Residential TSM UC Adj'!J36</f>
        <v>0</v>
      </c>
      <c r="G37" s="23">
        <f>'Sm Comm Cust Fcst'!$J38*'Non-Residential TSM UC Adj'!K36</f>
        <v>0</v>
      </c>
      <c r="H37" s="23">
        <f>'Sm Comm Cust Fcst'!$J38*'Non-Residential TSM UC Adj'!L36</f>
        <v>0</v>
      </c>
      <c r="I37" s="45">
        <f>IF(SUM(F37:H37)=0,0,SUM(F37:H37)/'Sm Comm Cust Fcst'!J38)</f>
        <v>0</v>
      </c>
      <c r="J37" s="137">
        <f>'Sm Comm Cust Fcst'!$K38*'Non-Residential TSM UC Adj'!J36</f>
        <v>0</v>
      </c>
      <c r="K37" s="23">
        <f>'Sm Comm Cust Fcst'!$K38*'Non-Residential TSM UC Adj'!K36</f>
        <v>0</v>
      </c>
      <c r="L37" s="23">
        <f>'Sm Comm Cust Fcst'!$K38*'Non-Residential TSM UC Adj'!L36</f>
        <v>0</v>
      </c>
      <c r="M37" s="45">
        <f>IF(SUM(J37:L37)=0,0,SUM(J37:L37)/'Sm Comm Cust Fcst'!K38)</f>
        <v>0</v>
      </c>
      <c r="N37" s="137">
        <f>'Sm Comm Cust Fcst'!$L38*'Non-Residential TSM UC Adj'!N36</f>
        <v>0</v>
      </c>
      <c r="O37" s="23">
        <f>'Sm Comm Cust Fcst'!$L38*'Non-Residential TSM UC Adj'!O36</f>
        <v>0</v>
      </c>
      <c r="P37" s="23">
        <f>'Sm Comm Cust Fcst'!$L38*'Non-Residential TSM UC Adj'!P36</f>
        <v>0</v>
      </c>
      <c r="Q37" s="23">
        <f>IF(SUM(N37:P37)=0,0,SUM(N37:P37)/'Sm Comm Cust Fcst'!L38)</f>
        <v>0</v>
      </c>
      <c r="R37" s="137">
        <f t="shared" si="1"/>
        <v>0</v>
      </c>
      <c r="S37" s="23">
        <f t="shared" si="2"/>
        <v>0</v>
      </c>
      <c r="T37" s="23">
        <f t="shared" si="3"/>
        <v>0</v>
      </c>
      <c r="U37" s="45">
        <f>IF(SUM(R37:T37)=0,0,SUM(R37:T37)/'Sm Comm Cust Fcst'!M38)</f>
        <v>0</v>
      </c>
    </row>
    <row r="38" spans="1:21">
      <c r="A38" s="155" t="s">
        <v>27</v>
      </c>
      <c r="B38" s="137">
        <f>'Sm Comm Cust Fcst'!$I39*'Non-Residential TSM UC Adj'!J37</f>
        <v>0</v>
      </c>
      <c r="C38" s="23">
        <f>'Sm Comm Cust Fcst'!$I39*'Non-Residential TSM UC Adj'!K37</f>
        <v>0</v>
      </c>
      <c r="D38" s="23">
        <f>'Sm Comm Cust Fcst'!$I39*'Non-Residential TSM UC Adj'!L37</f>
        <v>0</v>
      </c>
      <c r="E38" s="45">
        <f>IF(SUM(B38:D38)=0,0,SUM(B38:D38)/'Sm Comm Cust Fcst'!I39)</f>
        <v>0</v>
      </c>
      <c r="F38" s="137">
        <f>'Sm Comm Cust Fcst'!$J39*'Non-Residential TSM UC Adj'!J37</f>
        <v>0</v>
      </c>
      <c r="G38" s="23">
        <f>'Sm Comm Cust Fcst'!$J39*'Non-Residential TSM UC Adj'!K37</f>
        <v>0</v>
      </c>
      <c r="H38" s="23">
        <f>'Sm Comm Cust Fcst'!$J39*'Non-Residential TSM UC Adj'!L37</f>
        <v>0</v>
      </c>
      <c r="I38" s="45">
        <f>IF(SUM(F38:H38)=0,0,SUM(F38:H38)/'Sm Comm Cust Fcst'!J39)</f>
        <v>0</v>
      </c>
      <c r="J38" s="137">
        <f>'Sm Comm Cust Fcst'!$K39*'Non-Residential TSM UC Adj'!J37</f>
        <v>0</v>
      </c>
      <c r="K38" s="23">
        <f>'Sm Comm Cust Fcst'!$K39*'Non-Residential TSM UC Adj'!K37</f>
        <v>0</v>
      </c>
      <c r="L38" s="23">
        <f>'Sm Comm Cust Fcst'!$K39*'Non-Residential TSM UC Adj'!L37</f>
        <v>0</v>
      </c>
      <c r="M38" s="45">
        <f>IF(SUM(J38:L38)=0,0,SUM(J38:L38)/'Sm Comm Cust Fcst'!K39)</f>
        <v>0</v>
      </c>
      <c r="N38" s="137">
        <f>'Sm Comm Cust Fcst'!$L39*'Non-Residential TSM UC Adj'!N37</f>
        <v>0</v>
      </c>
      <c r="O38" s="23">
        <f>'Sm Comm Cust Fcst'!$L39*'Non-Residential TSM UC Adj'!O37</f>
        <v>0</v>
      </c>
      <c r="P38" s="23">
        <f>'Sm Comm Cust Fcst'!$L39*'Non-Residential TSM UC Adj'!P37</f>
        <v>0</v>
      </c>
      <c r="Q38" s="23">
        <f>IF(SUM(N38:P38)=0,0,SUM(N38:P38)/'Sm Comm Cust Fcst'!L39)</f>
        <v>0</v>
      </c>
      <c r="R38" s="137">
        <f t="shared" si="1"/>
        <v>0</v>
      </c>
      <c r="S38" s="23">
        <f t="shared" si="2"/>
        <v>0</v>
      </c>
      <c r="T38" s="23">
        <f t="shared" si="3"/>
        <v>0</v>
      </c>
      <c r="U38" s="45">
        <f>IF(SUM(R38:T38)=0,0,SUM(R38:T38)/'Sm Comm Cust Fcst'!M39)</f>
        <v>0</v>
      </c>
    </row>
    <row r="39" spans="1:21" ht="13.5" thickBot="1">
      <c r="A39" s="146"/>
      <c r="B39" s="137"/>
      <c r="C39" s="23"/>
      <c r="D39" s="23"/>
      <c r="E39" s="45"/>
      <c r="F39" s="137"/>
      <c r="G39" s="23"/>
      <c r="H39" s="23"/>
      <c r="I39" s="45"/>
      <c r="J39" s="137"/>
      <c r="K39" s="23"/>
      <c r="L39" s="23"/>
      <c r="M39" s="45"/>
      <c r="N39" s="137"/>
      <c r="O39" s="23"/>
      <c r="P39" s="23"/>
      <c r="Q39" s="23"/>
      <c r="R39" s="137"/>
      <c r="S39" s="23"/>
      <c r="T39" s="23"/>
      <c r="U39" s="45"/>
    </row>
    <row r="40" spans="1:21" ht="13.5" thickBot="1">
      <c r="A40" s="245" t="s">
        <v>2</v>
      </c>
      <c r="B40" s="503">
        <f>IF(SUM(B7:B38)=0,0,SUM(B7:B38)/'Sm Comm Cust Fcst'!$I41)</f>
        <v>352.45891846682133</v>
      </c>
      <c r="C40" s="506">
        <f>IF(SUM(C7:C38)=0,0,SUM(C7:C38)/'Sm Comm Cust Fcst'!$I41)</f>
        <v>112.52413672201592</v>
      </c>
      <c r="D40" s="506">
        <f>IF(SUM(D7:D38)=0,0,SUM(D7:D38)/'Sm Comm Cust Fcst'!$I41)</f>
        <v>234.2997315603759</v>
      </c>
      <c r="E40" s="508">
        <f>SUM(B40:D40)</f>
        <v>699.28278674921319</v>
      </c>
      <c r="F40" s="504">
        <f>IF(SUM(F7:F38)=0,0,SUM(F7:F38)/'Sm Comm Cust Fcst'!$J41)</f>
        <v>672.2728853521437</v>
      </c>
      <c r="G40" s="507">
        <f>IF(SUM(G7:G38)=0,0,SUM(G7:G38)/'Sm Comm Cust Fcst'!$J41)</f>
        <v>609.82032510065369</v>
      </c>
      <c r="H40" s="507">
        <f>IF(SUM(H7:H38)=0,0,SUM(H7:H38)/'Sm Comm Cust Fcst'!$J41)</f>
        <v>301.76349896014176</v>
      </c>
      <c r="I40" s="509">
        <f>SUM(F40:H40)</f>
        <v>1583.8567094129392</v>
      </c>
      <c r="J40" s="504">
        <f>IF(SUM(J7:J38)=0,0,SUM(J7:J38)/'Sm Comm Cust Fcst'!$K41)</f>
        <v>1167.6796153005582</v>
      </c>
      <c r="K40" s="507">
        <f>IF(SUM(K7:K38)=0,0,SUM(K7:K38)/'Sm Comm Cust Fcst'!$K41)</f>
        <v>629.0431392296955</v>
      </c>
      <c r="L40" s="507">
        <f>IF(SUM(L7:L38)=0,0,SUM(L7:L38)/'Sm Comm Cust Fcst'!$K41)</f>
        <v>301.76349896014176</v>
      </c>
      <c r="M40" s="509">
        <f>SUM(J40:L40)</f>
        <v>2098.4862534903955</v>
      </c>
      <c r="N40" s="504">
        <f>IF(SUM(N7:N38)=0,0,SUM(N7:N38)/'Sm Comm Cust Fcst'!$L41)</f>
        <v>1083.9761862695727</v>
      </c>
      <c r="O40" s="507">
        <f>IF(SUM(O7:O38)=0,0,SUM(O7:O38)/'Sm Comm Cust Fcst'!$L41)</f>
        <v>617.70916830166311</v>
      </c>
      <c r="P40" s="507">
        <f>IF(SUM(P7:P38)=0,0,SUM(P7:P38)/'Sm Comm Cust Fcst'!$L41)</f>
        <v>301.76349896014176</v>
      </c>
      <c r="Q40" s="509">
        <f>SUM(N40:P40)</f>
        <v>2003.4488535313776</v>
      </c>
      <c r="R40" s="504">
        <f>IF(SUM(R7:R38)=0,0,SUM(R7:R38)/'Sm Comm Cust Fcst'!$M41)</f>
        <v>367.79870045223896</v>
      </c>
      <c r="S40" s="507">
        <f>IF(SUM(S7:S38)=0,0,SUM(S7:S38)/'Sm Comm Cust Fcst'!$M41)</f>
        <v>122.90887447845788</v>
      </c>
      <c r="T40" s="507">
        <f>IF(SUM(T7:T38)=0,0,SUM(T7:T38)/'Sm Comm Cust Fcst'!$M41)</f>
        <v>235.67063238618681</v>
      </c>
      <c r="U40" s="509">
        <f>SUM(R40:T40)</f>
        <v>726.37820731688362</v>
      </c>
    </row>
    <row r="41" spans="1:21">
      <c r="A41" s="149" t="s">
        <v>103</v>
      </c>
      <c r="B41" s="380">
        <f>IF(SUM(B7:B8)=0,0,SUM(B7:B8)/'Sm Comm Cust Fcst'!$I42)</f>
        <v>340.27246227129245</v>
      </c>
      <c r="C41" s="109">
        <f>IF(SUM(C7:C8)=0,0,SUM(C7:C8)/'Sm Comm Cust Fcst'!$I42)</f>
        <v>112.16712195266034</v>
      </c>
      <c r="D41" s="109">
        <f>IF(SUM(D7:D8)=0,0,SUM(D7:D8)/'Sm Comm Cust Fcst'!$I42)</f>
        <v>234.2997315603759</v>
      </c>
      <c r="E41" s="381">
        <f>SUM(B41:D41)</f>
        <v>686.73931578432871</v>
      </c>
      <c r="F41" s="504">
        <f>IF(SUM(F7:F8)=0,0,SUM(F7:F8)/'Sm Comm Cust Fcst'!$J42)</f>
        <v>672.2728853521437</v>
      </c>
      <c r="G41" s="507">
        <f>IF(SUM(G7:G8)=0,0,SUM(G7:G8)/'Sm Comm Cust Fcst'!$J42)</f>
        <v>609.82032510065369</v>
      </c>
      <c r="H41" s="507">
        <f>IF(SUM(H7:H8)=0,0,SUM(H7:H8)/'Sm Comm Cust Fcst'!$J42)</f>
        <v>301.76349896014176</v>
      </c>
      <c r="I41" s="509">
        <f>SUM(F41:H41)</f>
        <v>1583.8567094129392</v>
      </c>
      <c r="J41" s="504">
        <f>IF(SUM(J7:J8)=0,0,SUM(J7:J8)/'Sm Comm Cust Fcst'!$K42)</f>
        <v>829.21427440810351</v>
      </c>
      <c r="K41" s="507">
        <f>IF(SUM(K7:K8)=0,0,SUM(K7:K8)/'Sm Comm Cust Fcst'!$K42)</f>
        <v>609.82032510065369</v>
      </c>
      <c r="L41" s="507">
        <f>IF(SUM(L7:L8)=0,0,SUM(L7:L8)/'Sm Comm Cust Fcst'!$K42)</f>
        <v>301.76349896014176</v>
      </c>
      <c r="M41" s="507">
        <f>SUM(J41:L41)</f>
        <v>1740.7980984688991</v>
      </c>
      <c r="N41" s="504">
        <f>IF(SUM(N7:N8)=0,0,SUM(N7:N8)/'Sm Comm Cust Fcst'!$L42)</f>
        <v>905.00826058153825</v>
      </c>
      <c r="O41" s="507">
        <f>IF(SUM(O7:O8)=0,0,SUM(O7:O8)/'Sm Comm Cust Fcst'!$L42)</f>
        <v>609.82032510065369</v>
      </c>
      <c r="P41" s="507">
        <f>IF(SUM(P7:P8)=0,0,SUM(P7:P8)/'Sm Comm Cust Fcst'!$L42)</f>
        <v>301.76349896014176</v>
      </c>
      <c r="Q41" s="507">
        <f>SUM(N41:P41)</f>
        <v>1816.5920846423337</v>
      </c>
      <c r="R41" s="504">
        <f>IF(SUM(R7:R8)=0,0,SUM(R7:R8)/'Sm Comm Cust Fcst'!$M42)</f>
        <v>347.7904586537548</v>
      </c>
      <c r="S41" s="507">
        <f>IF(SUM(S7:S8)=0,0,SUM(S7:S8)/'Sm Comm Cust Fcst'!$M42)</f>
        <v>119.54246656277732</v>
      </c>
      <c r="T41" s="507">
        <f>IF(SUM(T7:T8)=0,0,SUM(T7:T8)/'Sm Comm Cust Fcst'!$M42)</f>
        <v>235.29956142205987</v>
      </c>
      <c r="U41" s="509">
        <f>SUM(R41:T41)</f>
        <v>702.6324866385919</v>
      </c>
    </row>
    <row r="42" spans="1:21">
      <c r="A42" s="21" t="s">
        <v>128</v>
      </c>
      <c r="B42" s="380">
        <f>IF(SUM(B9:B11)=0,0,SUM(B9:B11)/'Sm Comm Cust Fcst'!$I43)</f>
        <v>972.30639495758612</v>
      </c>
      <c r="C42" s="109">
        <f>IF(SUM(C9:C11)=0,0,SUM(C9:C11)/'Sm Comm Cust Fcst'!$I43)</f>
        <v>130.68320612696587</v>
      </c>
      <c r="D42" s="109">
        <f>IF(SUM(D9:D11)=0,0,SUM(D9:D11)/'Sm Comm Cust Fcst'!$I43)</f>
        <v>234.29973156037588</v>
      </c>
      <c r="E42" s="381">
        <f>SUM(B42:D42)</f>
        <v>1337.289332644928</v>
      </c>
      <c r="F42" s="380">
        <f>IF(SUM(F9:F11)=0,0,SUM(F9:F11)/'Sm Comm Cust Fcst'!$J43)</f>
        <v>0</v>
      </c>
      <c r="G42" s="109">
        <f>IF(SUM(G9:G11)=0,0,SUM(G9:G11)/'Sm Comm Cust Fcst'!$J43)</f>
        <v>0</v>
      </c>
      <c r="H42" s="109">
        <f>IF(SUM(H9:H11)=0,0,SUM(H9:H11)/'Sm Comm Cust Fcst'!$J43)</f>
        <v>0</v>
      </c>
      <c r="I42" s="381">
        <f>SUM(F42:H42)</f>
        <v>0</v>
      </c>
      <c r="J42" s="380">
        <f>IF(SUM(J9:J11)=0,0,SUM(J9:J11)/'Sm Comm Cust Fcst'!$K43)</f>
        <v>1819.5387903526932</v>
      </c>
      <c r="K42" s="109">
        <f>IF(SUM(K9:K11)=0,0,SUM(K9:K11)/'Sm Comm Cust Fcst'!$K43)</f>
        <v>666.06485533007219</v>
      </c>
      <c r="L42" s="109">
        <f>IF(SUM(L9:L11)=0,0,SUM(L9:L11)/'Sm Comm Cust Fcst'!$K43)</f>
        <v>301.76349896014176</v>
      </c>
      <c r="M42" s="109">
        <f>SUM(J42:L42)</f>
        <v>2787.3671446429071</v>
      </c>
      <c r="N42" s="380">
        <f>IF(SUM(N9:N11)=0,0,SUM(N9:N11)/'Sm Comm Cust Fcst'!$L43)</f>
        <v>1608.0965400702455</v>
      </c>
      <c r="O42" s="109">
        <f>IF(SUM(O9:O11)=0,0,SUM(O9:O11)/'Sm Comm Cust Fcst'!$L43)</f>
        <v>640.812209104619</v>
      </c>
      <c r="P42" s="109">
        <f>IF(SUM(P9:P11)=0,0,SUM(P9:P11)/'Sm Comm Cust Fcst'!$L43)</f>
        <v>301.7634989601417</v>
      </c>
      <c r="Q42" s="109">
        <f>SUM(N42:P42)</f>
        <v>2550.6722481350062</v>
      </c>
      <c r="R42" s="380">
        <f>IF(SUM(R9:R11)=0,0,SUM(R9:R11)/'Sm Comm Cust Fcst'!$M43)</f>
        <v>1155.9846418202749</v>
      </c>
      <c r="S42" s="109">
        <f>IF(SUM(S9:S11)=0,0,SUM(S9:S11)/'Sm Comm Cust Fcst'!$M43)</f>
        <v>255.52199554991975</v>
      </c>
      <c r="T42" s="109">
        <f>IF(SUM(T9:T11)=0,0,SUM(T9:T11)/'Sm Comm Cust Fcst'!$M43)</f>
        <v>250.288254470147</v>
      </c>
      <c r="U42" s="381">
        <f>SUM(R42:T42)</f>
        <v>1661.7948918403415</v>
      </c>
    </row>
    <row r="43" spans="1:21">
      <c r="A43" s="21" t="s">
        <v>129</v>
      </c>
      <c r="B43" s="380">
        <f>IF(SUM(B12:B13)=0,0,SUM(B12:B13)/'Sm Comm Cust Fcst'!$I44)</f>
        <v>0</v>
      </c>
      <c r="C43" s="109">
        <f>IF(SUM(C12:C13)=0,0,SUM(C12:C13)/'Sm Comm Cust Fcst'!$I44)</f>
        <v>0</v>
      </c>
      <c r="D43" s="109">
        <f>IF(SUM(D12:D13)=0,0,SUM(D12:D13)/'Sm Comm Cust Fcst'!$I44)</f>
        <v>0</v>
      </c>
      <c r="E43" s="381">
        <f>SUM(B43:D43)</f>
        <v>0</v>
      </c>
      <c r="F43" s="380">
        <f>IF(SUM(F12:F13)=0,0,SUM(F12:F13)/'Sm Comm Cust Fcst'!$J44)</f>
        <v>0</v>
      </c>
      <c r="G43" s="109">
        <f>IF(SUM(G12:G13)=0,0,SUM(G12:G13)/'Sm Comm Cust Fcst'!$J44)</f>
        <v>0</v>
      </c>
      <c r="H43" s="109">
        <f>IF(SUM(H12:H13)=0,0,SUM(H12:H13)/'Sm Comm Cust Fcst'!$J44)</f>
        <v>0</v>
      </c>
      <c r="I43" s="381">
        <f>SUM(F43:H43)</f>
        <v>0</v>
      </c>
      <c r="J43" s="380">
        <f>IF(SUM(J12:J13)=0,0,SUM(J12:J13)/'Sm Comm Cust Fcst'!$K44)</f>
        <v>0</v>
      </c>
      <c r="K43" s="109">
        <f>IF(SUM(K12:K13)=0,0,SUM(K12:K13)/'Sm Comm Cust Fcst'!$K44)</f>
        <v>0</v>
      </c>
      <c r="L43" s="109">
        <f>IF(SUM(L12:L13)=0,0,SUM(L12:L13)/'Sm Comm Cust Fcst'!$K44)</f>
        <v>0</v>
      </c>
      <c r="M43" s="109">
        <f>SUM(J43:L43)</f>
        <v>0</v>
      </c>
      <c r="N43" s="380">
        <f>IF(SUM(N12:N13)=0,0,SUM(N12:N13)/'Sm Comm Cust Fcst'!$L44)</f>
        <v>0</v>
      </c>
      <c r="O43" s="109">
        <f>IF(SUM(O12:O13)=0,0,SUM(O12:O13)/'Sm Comm Cust Fcst'!$L44)</f>
        <v>0</v>
      </c>
      <c r="P43" s="109">
        <f>IF(SUM(P12:P13)=0,0,SUM(P12:P13)/'Sm Comm Cust Fcst'!$L44)</f>
        <v>0</v>
      </c>
      <c r="Q43" s="109">
        <f>SUM(N43:P43)</f>
        <v>0</v>
      </c>
      <c r="R43" s="380">
        <f>IF(SUM(R12:R13)=0,0,SUM(R12:R13)/'Sm Comm Cust Fcst'!$M44)</f>
        <v>0</v>
      </c>
      <c r="S43" s="109">
        <f>IF(SUM(S12:S13)=0,0,SUM(S12:S13)/'Sm Comm Cust Fcst'!$M44)</f>
        <v>0</v>
      </c>
      <c r="T43" s="109">
        <f>IF(SUM(T12:T13)=0,0,SUM(T12:T13)/'Sm Comm Cust Fcst'!$M44)</f>
        <v>0</v>
      </c>
      <c r="U43" s="381">
        <f>SUM(R43:T43)</f>
        <v>0</v>
      </c>
    </row>
    <row r="44" spans="1:21" ht="13.5" thickBot="1">
      <c r="A44" s="323" t="s">
        <v>130</v>
      </c>
      <c r="B44" s="505">
        <f>IF(SUM(B14:B38)=0,0,SUM(B14:B38)/'Sm Comm Cust Fcst'!$I45)</f>
        <v>0</v>
      </c>
      <c r="C44" s="414">
        <f>IF(SUM(C14:C38)=0,0,SUM(C14:C38)/'Sm Comm Cust Fcst'!$I45)</f>
        <v>0</v>
      </c>
      <c r="D44" s="414">
        <f>IF(SUM(D14:D38)=0,0,SUM(D14:D38)/'Sm Comm Cust Fcst'!$I45)</f>
        <v>0</v>
      </c>
      <c r="E44" s="510">
        <f>SUM(B44:D44)</f>
        <v>0</v>
      </c>
      <c r="F44" s="505">
        <f>IF(SUM(F14:F38)=0,0,SUM(F14:F38)/'Sm Comm Cust Fcst'!$J45)</f>
        <v>0</v>
      </c>
      <c r="G44" s="414">
        <f>IF(SUM(G14:G38)=0,0,SUM(G14:G38)/'Sm Comm Cust Fcst'!$J45)</f>
        <v>0</v>
      </c>
      <c r="H44" s="414">
        <f>IF(SUM(H14:H38)=0,0,SUM(H14:H38)/'Sm Comm Cust Fcst'!$J45)</f>
        <v>0</v>
      </c>
      <c r="I44" s="510">
        <f>SUM(F44:H44)</f>
        <v>0</v>
      </c>
      <c r="J44" s="505">
        <f>IF(SUM(J14:J38)=0,0,SUM(J14:J38)/'Sm Comm Cust Fcst'!$K45)</f>
        <v>0</v>
      </c>
      <c r="K44" s="414">
        <f>IF(SUM(K14:K38)=0,0,SUM(K14:K38)/'Sm Comm Cust Fcst'!$K45)</f>
        <v>0</v>
      </c>
      <c r="L44" s="414">
        <f>IF(SUM(L14:L38)=0,0,SUM(L14:L38)/'Sm Comm Cust Fcst'!$K45)</f>
        <v>0</v>
      </c>
      <c r="M44" s="414">
        <f>SUM(J44:L44)</f>
        <v>0</v>
      </c>
      <c r="N44" s="505">
        <f>IF(SUM(N14:N38)=0,0,SUM(N14:N38)/'Sm Comm Cust Fcst'!$L45)</f>
        <v>0</v>
      </c>
      <c r="O44" s="414">
        <f>IF(SUM(O14:O38)=0,0,SUM(O14:O38)/'Sm Comm Cust Fcst'!$L45)</f>
        <v>0</v>
      </c>
      <c r="P44" s="414">
        <f>IF(SUM(P14:P38)=0,0,SUM(P14:P38)/'Sm Comm Cust Fcst'!$L45)</f>
        <v>0</v>
      </c>
      <c r="Q44" s="414">
        <f>SUM(N44:P44)</f>
        <v>0</v>
      </c>
      <c r="R44" s="505">
        <f>IF(SUM(R14:R38)=0,0,SUM(R14:R38)/'Sm Comm Cust Fcst'!$M45)</f>
        <v>0</v>
      </c>
      <c r="S44" s="414">
        <f>IF(SUM(S14:S38)=0,0,SUM(S14:S38)/'Sm Comm Cust Fcst'!$M45)</f>
        <v>0</v>
      </c>
      <c r="T44" s="414">
        <f>IF(SUM(T14:T38)=0,0,SUM(T14:T38)/'Sm Comm Cust Fcst'!$M45)</f>
        <v>0</v>
      </c>
      <c r="U44" s="510">
        <f>SUM(R44:T44)</f>
        <v>0</v>
      </c>
    </row>
    <row r="45" spans="1:21">
      <c r="A45" s="55"/>
      <c r="C45" s="12"/>
      <c r="D45" s="12"/>
      <c r="G45" s="12"/>
      <c r="H45" s="12"/>
      <c r="K45" s="12"/>
      <c r="L45" s="12"/>
      <c r="O45" s="12"/>
      <c r="P45" s="12"/>
      <c r="S45" s="12"/>
      <c r="T45" s="12"/>
    </row>
    <row r="46" spans="1:21">
      <c r="A46" s="340" t="s">
        <v>102</v>
      </c>
      <c r="B46" s="18"/>
      <c r="C46" s="18"/>
      <c r="D46" s="18"/>
      <c r="E46" s="108">
        <f>IF(SUM(B7:D38)=0,0,SUM(B7:D38)/'Sm Comm Cust Fcst'!$I41)-E40</f>
        <v>0</v>
      </c>
      <c r="F46" s="18"/>
      <c r="G46" s="18"/>
      <c r="H46" s="18"/>
      <c r="I46" s="108">
        <f>IF(SUM(F7:H38)=0,0,SUM(F7:H38)/'Sm Comm Cust Fcst'!$J41)-I40</f>
        <v>0</v>
      </c>
      <c r="J46" s="18"/>
      <c r="K46" s="18"/>
      <c r="L46" s="18"/>
      <c r="M46" s="108">
        <f>IF(SUM(J7:L38)=0,0,SUM(J7:L38)/'Sm Comm Cust Fcst'!$K41)-M40</f>
        <v>0</v>
      </c>
      <c r="N46" s="18"/>
      <c r="O46" s="18"/>
      <c r="P46" s="18"/>
      <c r="Q46" s="108">
        <f>IF(SUM(N7:P38)=0,0,SUM(N7:P38)/'Sm Comm Cust Fcst'!$L41)-Q40</f>
        <v>0</v>
      </c>
      <c r="R46" s="18"/>
      <c r="S46" s="18"/>
      <c r="T46" s="18"/>
      <c r="U46" s="108">
        <f>IF(SUM(R7:T38)=0,0,SUM(R7:T38)/'Sm Comm Cust Fcst'!$M41)-U40</f>
        <v>0</v>
      </c>
    </row>
    <row r="47" spans="1:21">
      <c r="E47" s="108">
        <f>IF(SUM(B7:D8)=0,0,SUM(B7:D8)/'Sm Comm Cust Fcst'!$I42)-E41</f>
        <v>0</v>
      </c>
      <c r="I47" s="108">
        <f>IF(SUM(F7:H8)=0,0,SUM(F7:H8)/'Sm Comm Cust Fcst'!$J42)-I41</f>
        <v>0</v>
      </c>
      <c r="M47" s="108">
        <f>IF(SUM(J7:L8)=0,0,SUM(J7:L8)/'Sm Comm Cust Fcst'!$K42)-M41</f>
        <v>0</v>
      </c>
      <c r="Q47" s="108">
        <f>IF(SUM(N7:P8)=0,0,SUM(N7:P8)/'Sm Comm Cust Fcst'!$L42)-Q41</f>
        <v>0</v>
      </c>
      <c r="U47" s="108">
        <f>IF(SUM(R7:T8)=0,0,SUM(R7:T8)/'Sm Comm Cust Fcst'!$M42)-U41</f>
        <v>0</v>
      </c>
    </row>
    <row r="48" spans="1:21">
      <c r="E48" s="108">
        <f>IF(SUM(B9:D11)=0,0,SUM(B9:D11)/'Sm Comm Cust Fcst'!$I43)-E42</f>
        <v>0</v>
      </c>
      <c r="I48" s="108">
        <f>IF(SUM(F9:H11)=0,0,SUM(F9:H11)/'Sm Comm Cust Fcst'!$J43)-I42</f>
        <v>0</v>
      </c>
      <c r="M48" s="108">
        <f>IF(SUM(J9:L11)=0,0,SUM(J9:L11)/'Sm Comm Cust Fcst'!$K43)-M42</f>
        <v>0</v>
      </c>
      <c r="Q48" s="108">
        <f>IF(SUM(N9:P11)=0,0,SUM(N9:P11)/'Sm Comm Cust Fcst'!$L43)-Q42</f>
        <v>0</v>
      </c>
      <c r="U48" s="108">
        <f>IF(SUM(R9:T11)=0,0,SUM(R9:T11)/'Sm Comm Cust Fcst'!$M43)-U42</f>
        <v>0</v>
      </c>
    </row>
    <row r="49" spans="1:21">
      <c r="E49" s="108">
        <f>IF(SUM(B12:D13)=0,0,SUM(B12:D13)/'Sm Comm Cust Fcst'!$I44)-E43</f>
        <v>0</v>
      </c>
      <c r="I49" s="108">
        <f>IF(SUM(F12:H13)=0,0,SUM(F12:H13)/'Sm Comm Cust Fcst'!$J44)-I43</f>
        <v>0</v>
      </c>
      <c r="M49" s="108">
        <f>IF(SUM(J12:L13)=0,0,SUM(J12:L13)/'Sm Comm Cust Fcst'!$K44)-M43</f>
        <v>0</v>
      </c>
      <c r="Q49" s="108">
        <f>IF(SUM(N12:P13)=0,0,SUM(N12:P13)/'Sm Comm Cust Fcst'!$L44)-Q43</f>
        <v>0</v>
      </c>
      <c r="U49" s="108">
        <f>IF(SUM(R12:T13)=0,0,SUM(R12:T13)/'Sm Comm Cust Fcst'!$M44)-U43</f>
        <v>0</v>
      </c>
    </row>
    <row r="63" spans="1:21">
      <c r="A63" s="19"/>
    </row>
  </sheetData>
  <mergeCells count="7">
    <mergeCell ref="A1:Q1"/>
    <mergeCell ref="R3:U3"/>
    <mergeCell ref="B2:U2"/>
    <mergeCell ref="B3:E3"/>
    <mergeCell ref="F3:I3"/>
    <mergeCell ref="J3:M3"/>
    <mergeCell ref="N3:Q3"/>
  </mergeCells>
  <phoneticPr fontId="0" type="noConversion"/>
  <printOptions horizontalCentered="1"/>
  <pageMargins left="0.75" right="0.75" top="1" bottom="1" header="0.5" footer="0.5"/>
  <pageSetup scale="36" orientation="portrait" r:id="rId1"/>
  <headerFooter alignWithMargins="0">
    <oddFooter>&amp;L&amp;F
&amp;A&amp;R&amp;P of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Sheet22">
    <tabColor rgb="FF00642D"/>
    <pageSetUpPr fitToPage="1"/>
  </sheetPr>
  <dimension ref="A1:P59"/>
  <sheetViews>
    <sheetView zoomScaleNormal="100" workbookViewId="0">
      <selection activeCell="A26" sqref="A26:A28"/>
    </sheetView>
  </sheetViews>
  <sheetFormatPr defaultRowHeight="12.75"/>
  <cols>
    <col min="1" max="1" width="41.140625" customWidth="1"/>
    <col min="2" max="6" width="11.140625" customWidth="1"/>
    <col min="8" max="8" width="10.28515625" bestFit="1" customWidth="1"/>
    <col min="9" max="9" width="11.28515625" bestFit="1" customWidth="1"/>
    <col min="13" max="13" width="10.28515625" bestFit="1" customWidth="1"/>
    <col min="14" max="14" width="11.28515625" bestFit="1" customWidth="1"/>
  </cols>
  <sheetData>
    <row r="1" spans="1:16" ht="18.75" thickBot="1">
      <c r="A1" s="826" t="s">
        <v>169</v>
      </c>
      <c r="B1" s="845"/>
      <c r="C1" s="845"/>
      <c r="D1" s="845"/>
      <c r="E1" s="845"/>
      <c r="F1" s="845"/>
    </row>
    <row r="2" spans="1:16" ht="13.5" thickBot="1">
      <c r="A2" s="131"/>
      <c r="B2" s="827" t="s">
        <v>78</v>
      </c>
      <c r="C2" s="828"/>
      <c r="D2" s="828"/>
      <c r="E2" s="828"/>
      <c r="F2" s="828"/>
      <c r="G2" s="828"/>
      <c r="H2" s="828"/>
      <c r="I2" s="828"/>
      <c r="J2" s="828"/>
      <c r="K2" s="828"/>
      <c r="L2" s="828"/>
      <c r="M2" s="828"/>
      <c r="N2" s="828"/>
      <c r="O2" s="828"/>
      <c r="P2" s="829"/>
    </row>
    <row r="3" spans="1:16" ht="13.5" thickBot="1">
      <c r="A3" s="196"/>
      <c r="B3" s="827" t="s">
        <v>0</v>
      </c>
      <c r="C3" s="828"/>
      <c r="D3" s="828"/>
      <c r="E3" s="828"/>
      <c r="F3" s="829"/>
      <c r="G3" s="828" t="s">
        <v>1</v>
      </c>
      <c r="H3" s="828"/>
      <c r="I3" s="828"/>
      <c r="J3" s="828"/>
      <c r="K3" s="829"/>
      <c r="L3" s="827" t="s">
        <v>439</v>
      </c>
      <c r="M3" s="828"/>
      <c r="N3" s="828"/>
      <c r="O3" s="828"/>
      <c r="P3" s="829"/>
    </row>
    <row r="4" spans="1:16" ht="13.5" thickBot="1">
      <c r="A4" s="102" t="s">
        <v>47</v>
      </c>
      <c r="B4" s="616" t="s">
        <v>103</v>
      </c>
      <c r="C4" s="617" t="s">
        <v>128</v>
      </c>
      <c r="D4" s="617" t="s">
        <v>129</v>
      </c>
      <c r="E4" s="617" t="s">
        <v>130</v>
      </c>
      <c r="F4" s="618" t="s">
        <v>2</v>
      </c>
      <c r="G4" s="704" t="s">
        <v>103</v>
      </c>
      <c r="H4" s="702" t="s">
        <v>128</v>
      </c>
      <c r="I4" s="702" t="s">
        <v>129</v>
      </c>
      <c r="J4" s="702" t="s">
        <v>130</v>
      </c>
      <c r="K4" s="703" t="s">
        <v>168</v>
      </c>
      <c r="L4" s="704" t="s">
        <v>103</v>
      </c>
      <c r="M4" s="702" t="s">
        <v>128</v>
      </c>
      <c r="N4" s="702" t="s">
        <v>129</v>
      </c>
      <c r="O4" s="702" t="s">
        <v>130</v>
      </c>
      <c r="P4" s="703" t="s">
        <v>2</v>
      </c>
    </row>
    <row r="5" spans="1:16">
      <c r="A5" s="621"/>
      <c r="B5" s="39"/>
      <c r="C5" s="176"/>
      <c r="D5" s="176"/>
      <c r="E5" s="176"/>
      <c r="F5" s="373"/>
      <c r="G5" s="39"/>
      <c r="H5" s="176"/>
      <c r="I5" s="176"/>
      <c r="J5" s="176"/>
      <c r="K5" s="373"/>
      <c r="L5" s="39"/>
      <c r="M5" s="176"/>
      <c r="N5" s="176"/>
      <c r="O5" s="176"/>
      <c r="P5" s="373"/>
    </row>
    <row r="6" spans="1:16">
      <c r="A6" s="145"/>
      <c r="B6" s="40"/>
      <c r="C6" s="84"/>
      <c r="D6" s="84"/>
      <c r="E6" s="84"/>
      <c r="F6" s="161"/>
      <c r="G6" s="40"/>
      <c r="H6" s="84"/>
      <c r="I6" s="84"/>
      <c r="J6" s="84"/>
      <c r="K6" s="161"/>
      <c r="L6" s="40"/>
      <c r="M6" s="84"/>
      <c r="N6" s="84"/>
      <c r="O6" s="84"/>
      <c r="P6" s="161"/>
    </row>
    <row r="7" spans="1:16">
      <c r="A7" s="145" t="s">
        <v>49</v>
      </c>
      <c r="B7" s="40"/>
      <c r="C7" s="84"/>
      <c r="D7" s="84"/>
      <c r="E7" s="84"/>
      <c r="F7" s="161"/>
      <c r="G7" s="40"/>
      <c r="H7" s="84"/>
      <c r="I7" s="84"/>
      <c r="J7" s="84"/>
      <c r="K7" s="161"/>
      <c r="L7" s="40"/>
      <c r="M7" s="84"/>
      <c r="N7" s="84"/>
      <c r="O7" s="84"/>
      <c r="P7" s="161"/>
    </row>
    <row r="8" spans="1:16">
      <c r="A8" s="517"/>
      <c r="B8" s="41"/>
      <c r="C8" s="85"/>
      <c r="D8" s="85"/>
      <c r="E8" s="85"/>
      <c r="F8" s="162"/>
      <c r="G8" s="41"/>
      <c r="H8" s="85"/>
      <c r="I8" s="85"/>
      <c r="J8" s="85"/>
      <c r="K8" s="162"/>
      <c r="L8" s="41"/>
      <c r="M8" s="85"/>
      <c r="N8" s="85"/>
      <c r="O8" s="85"/>
      <c r="P8" s="162"/>
    </row>
    <row r="9" spans="1:16">
      <c r="A9" s="145" t="s">
        <v>53</v>
      </c>
      <c r="B9" s="139">
        <f>'Sch A-TC TSM'!R41</f>
        <v>347.7904586537548</v>
      </c>
      <c r="C9" s="37">
        <f>'Sch A-TC TSM'!R42</f>
        <v>1155.9846418202749</v>
      </c>
      <c r="D9" s="37"/>
      <c r="E9" s="37"/>
      <c r="F9" s="38">
        <f>'Sch A-TC TSM'!R40</f>
        <v>367.79870045223896</v>
      </c>
      <c r="G9" s="139"/>
      <c r="H9" s="37"/>
      <c r="I9" s="37"/>
      <c r="J9" s="37"/>
      <c r="K9" s="37"/>
      <c r="L9" s="139">
        <f>'Sch A-TC TSM'!$R$41</f>
        <v>347.7904586537548</v>
      </c>
      <c r="M9" s="37">
        <f>'Sch A-TC TSM'!$R$42</f>
        <v>1155.9846418202749</v>
      </c>
      <c r="N9" s="37"/>
      <c r="O9" s="37"/>
      <c r="P9" s="38">
        <f>'Sch A-TC TSM'!$R$40</f>
        <v>367.79870045223896</v>
      </c>
    </row>
    <row r="10" spans="1:16">
      <c r="A10" s="145" t="s">
        <v>51</v>
      </c>
      <c r="B10" s="139">
        <f>'Sch A-TC TSM'!S41</f>
        <v>119.54246656277732</v>
      </c>
      <c r="C10" s="37">
        <f>'Sch A-TC TSM'!S42</f>
        <v>255.52199554991975</v>
      </c>
      <c r="D10" s="37"/>
      <c r="E10" s="37"/>
      <c r="F10" s="38">
        <f>'Sch A-TC TSM'!S40</f>
        <v>122.90887447845788</v>
      </c>
      <c r="G10" s="139"/>
      <c r="H10" s="37"/>
      <c r="I10" s="37"/>
      <c r="J10" s="37"/>
      <c r="K10" s="37"/>
      <c r="L10" s="139">
        <f>'Sch A-TC TSM'!$S$41</f>
        <v>119.54246656277732</v>
      </c>
      <c r="M10" s="37">
        <f>'Sch A-TC TSM'!$S$42</f>
        <v>255.52199554991975</v>
      </c>
      <c r="N10" s="37"/>
      <c r="O10" s="37"/>
      <c r="P10" s="38">
        <f>'Sch A-TC TSM'!$S$40</f>
        <v>122.90887447845788</v>
      </c>
    </row>
    <row r="11" spans="1:16">
      <c r="A11" s="145" t="s">
        <v>52</v>
      </c>
      <c r="B11" s="139">
        <f>'Sch A-TC TSM'!T41</f>
        <v>235.29956142205987</v>
      </c>
      <c r="C11" s="37">
        <f>'Sch A-TC TSM'!T42</f>
        <v>250.288254470147</v>
      </c>
      <c r="D11" s="37"/>
      <c r="E11" s="37"/>
      <c r="F11" s="38">
        <f>'Sch A-TC TSM'!T40</f>
        <v>235.67063238618681</v>
      </c>
      <c r="G11" s="139"/>
      <c r="H11" s="37"/>
      <c r="I11" s="37"/>
      <c r="J11" s="37"/>
      <c r="K11" s="37"/>
      <c r="L11" s="139">
        <f>'Sch A-TC TSM'!$T$41</f>
        <v>235.29956142205987</v>
      </c>
      <c r="M11" s="37">
        <f>'Sch A-TC TSM'!$T$42</f>
        <v>250.288254470147</v>
      </c>
      <c r="N11" s="37"/>
      <c r="O11" s="37"/>
      <c r="P11" s="38">
        <f>'Sch A-TC TSM'!$T$40</f>
        <v>235.67063238618681</v>
      </c>
    </row>
    <row r="12" spans="1:16">
      <c r="A12" s="518"/>
      <c r="B12" s="42"/>
      <c r="C12" s="86"/>
      <c r="D12" s="86"/>
      <c r="E12" s="86"/>
      <c r="F12" s="375"/>
      <c r="G12" s="42"/>
      <c r="H12" s="86"/>
      <c r="I12" s="86"/>
      <c r="J12" s="86"/>
      <c r="K12" s="375"/>
      <c r="L12" s="42"/>
      <c r="M12" s="86"/>
      <c r="N12" s="86"/>
      <c r="O12" s="86"/>
      <c r="P12" s="375"/>
    </row>
    <row r="13" spans="1:16">
      <c r="A13" s="145" t="s">
        <v>35</v>
      </c>
      <c r="B13" s="142">
        <f>SUM(B9:B11)</f>
        <v>702.6324866385919</v>
      </c>
      <c r="C13" s="34">
        <f>SUM(C9:C11)</f>
        <v>1661.7948918403415</v>
      </c>
      <c r="D13" s="34"/>
      <c r="E13" s="34"/>
      <c r="F13" s="44">
        <f>SUM(F9:F11)</f>
        <v>726.37820731688362</v>
      </c>
      <c r="G13" s="142"/>
      <c r="H13" s="34"/>
      <c r="I13" s="34"/>
      <c r="J13" s="34"/>
      <c r="K13" s="44"/>
      <c r="L13" s="142">
        <f t="shared" ref="L13:P13" si="0">SUM(L9:L11)</f>
        <v>702.6324866385919</v>
      </c>
      <c r="M13" s="34">
        <f t="shared" si="0"/>
        <v>1661.7948918403415</v>
      </c>
      <c r="N13" s="34"/>
      <c r="O13" s="34"/>
      <c r="P13" s="44">
        <f t="shared" si="0"/>
        <v>726.37820731688362</v>
      </c>
    </row>
    <row r="14" spans="1:16">
      <c r="A14" s="518"/>
      <c r="B14" s="42"/>
      <c r="C14" s="86"/>
      <c r="D14" s="86"/>
      <c r="E14" s="86"/>
      <c r="F14" s="375"/>
      <c r="G14" s="42"/>
      <c r="H14" s="86"/>
      <c r="I14" s="86"/>
      <c r="J14" s="86"/>
      <c r="K14" s="375"/>
      <c r="L14" s="42"/>
      <c r="M14" s="86"/>
      <c r="N14" s="86"/>
      <c r="O14" s="86"/>
      <c r="P14" s="375"/>
    </row>
    <row r="15" spans="1:16">
      <c r="A15" s="145" t="s">
        <v>65</v>
      </c>
      <c r="B15" s="142"/>
      <c r="C15" s="34"/>
      <c r="D15" s="34"/>
      <c r="E15" s="34"/>
      <c r="F15" s="44"/>
      <c r="G15" s="142"/>
      <c r="H15" s="34"/>
      <c r="I15" s="34"/>
      <c r="J15" s="34"/>
      <c r="K15" s="44"/>
      <c r="L15" s="142"/>
      <c r="M15" s="34"/>
      <c r="N15" s="34"/>
      <c r="O15" s="34"/>
      <c r="P15" s="44"/>
    </row>
    <row r="16" spans="1:16">
      <c r="A16" s="519">
        <f>Inputs!C3</f>
        <v>2.7723662892949787E-2</v>
      </c>
      <c r="B16" s="142"/>
      <c r="C16" s="34"/>
      <c r="D16" s="34"/>
      <c r="E16" s="34"/>
      <c r="F16" s="44"/>
      <c r="G16" s="142"/>
      <c r="H16" s="34"/>
      <c r="I16" s="34"/>
      <c r="J16" s="34"/>
      <c r="K16" s="44"/>
      <c r="L16" s="142"/>
      <c r="M16" s="34"/>
      <c r="N16" s="34"/>
      <c r="O16" s="34"/>
      <c r="P16" s="44"/>
    </row>
    <row r="17" spans="1:16">
      <c r="A17" s="40" t="s">
        <v>64</v>
      </c>
      <c r="B17" s="142"/>
      <c r="C17" s="34"/>
      <c r="D17" s="34"/>
      <c r="E17" s="34"/>
      <c r="F17" s="44"/>
      <c r="G17" s="142"/>
      <c r="H17" s="34"/>
      <c r="I17" s="34"/>
      <c r="J17" s="34"/>
      <c r="K17" s="44"/>
      <c r="L17" s="142"/>
      <c r="M17" s="34"/>
      <c r="N17" s="34"/>
      <c r="O17" s="34"/>
      <c r="P17" s="44"/>
    </row>
    <row r="18" spans="1:16">
      <c r="A18" s="53">
        <f>Inputs!C4</f>
        <v>1.5023E-2</v>
      </c>
      <c r="B18" s="142"/>
      <c r="C18" s="34"/>
      <c r="D18" s="34"/>
      <c r="E18" s="34"/>
      <c r="F18" s="44"/>
      <c r="G18" s="142"/>
      <c r="H18" s="34"/>
      <c r="I18" s="34"/>
      <c r="J18" s="34"/>
      <c r="K18" s="44"/>
      <c r="L18" s="142"/>
      <c r="M18" s="34"/>
      <c r="N18" s="34"/>
      <c r="O18" s="34"/>
      <c r="P18" s="44"/>
    </row>
    <row r="19" spans="1:16">
      <c r="A19" s="519"/>
      <c r="B19" s="142"/>
      <c r="C19" s="34"/>
      <c r="D19" s="34"/>
      <c r="E19" s="34"/>
      <c r="F19" s="44"/>
      <c r="G19" s="142"/>
      <c r="H19" s="34"/>
      <c r="I19" s="34"/>
      <c r="J19" s="34"/>
      <c r="K19" s="44"/>
      <c r="L19" s="142"/>
      <c r="M19" s="34"/>
      <c r="N19" s="34"/>
      <c r="O19" s="34"/>
      <c r="P19" s="44"/>
    </row>
    <row r="20" spans="1:16">
      <c r="A20" s="520" t="s">
        <v>111</v>
      </c>
      <c r="B20" s="142">
        <f>(B9*(1+$A$16)*(1+$A$18))</f>
        <v>362.80219229529274</v>
      </c>
      <c r="C20" s="34">
        <f t="shared" ref="C20:P20" si="1">(C9*(1+$A$16)*(1+$A$18))</f>
        <v>1205.8805866483383</v>
      </c>
      <c r="D20" s="34"/>
      <c r="E20" s="34"/>
      <c r="F20" s="34">
        <f t="shared" si="1"/>
        <v>383.67405294541817</v>
      </c>
      <c r="G20" s="142"/>
      <c r="H20" s="34"/>
      <c r="I20" s="34"/>
      <c r="J20" s="34"/>
      <c r="K20" s="34"/>
      <c r="L20" s="142">
        <f t="shared" si="1"/>
        <v>362.80219229529274</v>
      </c>
      <c r="M20" s="34">
        <f t="shared" si="1"/>
        <v>1205.8805866483383</v>
      </c>
      <c r="N20" s="34"/>
      <c r="O20" s="34"/>
      <c r="P20" s="44">
        <f t="shared" si="1"/>
        <v>383.67405294541817</v>
      </c>
    </row>
    <row r="21" spans="1:16">
      <c r="A21" s="520" t="s">
        <v>51</v>
      </c>
      <c r="B21" s="142">
        <f t="shared" ref="B21:P22" si="2">(B10*(1+$A$16)*(1+$A$18))</f>
        <v>124.70229663355978</v>
      </c>
      <c r="C21" s="34">
        <f t="shared" si="2"/>
        <v>266.55113117255172</v>
      </c>
      <c r="D21" s="34"/>
      <c r="E21" s="34"/>
      <c r="F21" s="34">
        <f t="shared" si="2"/>
        <v>128.21400933751593</v>
      </c>
      <c r="G21" s="142"/>
      <c r="H21" s="34"/>
      <c r="I21" s="34"/>
      <c r="J21" s="34"/>
      <c r="K21" s="34"/>
      <c r="L21" s="142">
        <f t="shared" si="2"/>
        <v>124.70229663355978</v>
      </c>
      <c r="M21" s="34">
        <f t="shared" si="2"/>
        <v>266.55113117255172</v>
      </c>
      <c r="N21" s="34"/>
      <c r="O21" s="34"/>
      <c r="P21" s="44">
        <f t="shared" si="2"/>
        <v>128.21400933751593</v>
      </c>
    </row>
    <row r="22" spans="1:16">
      <c r="A22" s="520" t="s">
        <v>52</v>
      </c>
      <c r="B22" s="142">
        <f t="shared" si="2"/>
        <v>245.455832976235</v>
      </c>
      <c r="C22" s="34">
        <f t="shared" si="2"/>
        <v>261.09148531280755</v>
      </c>
      <c r="D22" s="34"/>
      <c r="E22" s="34"/>
      <c r="F22" s="34">
        <f t="shared" si="2"/>
        <v>245.84292053408089</v>
      </c>
      <c r="G22" s="142"/>
      <c r="H22" s="34"/>
      <c r="I22" s="34"/>
      <c r="J22" s="34"/>
      <c r="K22" s="34"/>
      <c r="L22" s="142">
        <f t="shared" si="2"/>
        <v>245.455832976235</v>
      </c>
      <c r="M22" s="34">
        <f t="shared" si="2"/>
        <v>261.09148531280755</v>
      </c>
      <c r="N22" s="34"/>
      <c r="O22" s="34"/>
      <c r="P22" s="44">
        <f t="shared" si="2"/>
        <v>245.84292053408089</v>
      </c>
    </row>
    <row r="23" spans="1:16">
      <c r="A23" s="519"/>
      <c r="B23" s="142"/>
      <c r="C23" s="34"/>
      <c r="D23" s="34"/>
      <c r="E23" s="34"/>
      <c r="F23" s="44"/>
      <c r="G23" s="142"/>
      <c r="H23" s="34"/>
      <c r="I23" s="34"/>
      <c r="J23" s="34"/>
      <c r="K23" s="44"/>
      <c r="L23" s="142"/>
      <c r="M23" s="34"/>
      <c r="N23" s="34"/>
      <c r="O23" s="34"/>
      <c r="P23" s="44"/>
    </row>
    <row r="24" spans="1:16">
      <c r="A24" s="145" t="s">
        <v>35</v>
      </c>
      <c r="B24" s="142">
        <f>SUM(B20:B22)</f>
        <v>732.96032190508754</v>
      </c>
      <c r="C24" s="34">
        <f>SUM(C20:C22)</f>
        <v>1733.5232031336977</v>
      </c>
      <c r="D24" s="34"/>
      <c r="E24" s="34"/>
      <c r="F24" s="44">
        <f>SUM(F20:F22)</f>
        <v>757.73098281701505</v>
      </c>
      <c r="G24" s="142"/>
      <c r="H24" s="34"/>
      <c r="I24" s="34"/>
      <c r="J24" s="34"/>
      <c r="K24" s="44"/>
      <c r="L24" s="142">
        <f t="shared" ref="L24:P24" si="3">SUM(L20:L22)</f>
        <v>732.96032190508754</v>
      </c>
      <c r="M24" s="34">
        <f t="shared" si="3"/>
        <v>1733.5232031336977</v>
      </c>
      <c r="N24" s="34"/>
      <c r="O24" s="34"/>
      <c r="P24" s="44">
        <f t="shared" si="3"/>
        <v>757.73098281701505</v>
      </c>
    </row>
    <row r="25" spans="1:16">
      <c r="A25" s="145"/>
      <c r="B25" s="142"/>
      <c r="C25" s="34"/>
      <c r="D25" s="34"/>
      <c r="E25" s="34"/>
      <c r="F25" s="44"/>
      <c r="G25" s="142"/>
      <c r="H25" s="34"/>
      <c r="I25" s="34"/>
      <c r="J25" s="34"/>
      <c r="K25" s="44"/>
      <c r="L25" s="142"/>
      <c r="M25" s="34"/>
      <c r="N25" s="34"/>
      <c r="O25" s="34"/>
      <c r="P25" s="44"/>
    </row>
    <row r="26" spans="1:16">
      <c r="A26" s="806" t="str">
        <f>'Resid TSM Sum by Rate Schedule'!A25</f>
        <v>Annualized Transformer Cost at 8.05%</v>
      </c>
      <c r="B26" s="147">
        <f>B20*Inputs!$C$5</f>
        <v>29.197835200157588</v>
      </c>
      <c r="C26" s="97">
        <f>C20*Inputs!$C$5</f>
        <v>97.047656788606346</v>
      </c>
      <c r="D26" s="97"/>
      <c r="E26" s="97"/>
      <c r="F26" s="99">
        <f>F20*Inputs!$C$5</f>
        <v>30.87757462986589</v>
      </c>
      <c r="G26" s="147"/>
      <c r="H26" s="97"/>
      <c r="I26" s="97"/>
      <c r="J26" s="97"/>
      <c r="K26" s="99"/>
      <c r="L26" s="147">
        <f>L20*Inputs!$C$5</f>
        <v>29.197835200157588</v>
      </c>
      <c r="M26" s="97">
        <f>M20*Inputs!$C$5</f>
        <v>97.047656788606346</v>
      </c>
      <c r="N26" s="97"/>
      <c r="O26" s="97"/>
      <c r="P26" s="99">
        <f>P20*Inputs!$C$5</f>
        <v>30.87757462986589</v>
      </c>
    </row>
    <row r="27" spans="1:16">
      <c r="A27" s="806" t="str">
        <f>'Resid TSM Sum by Rate Schedule'!A26</f>
        <v>Annualized Services Cost at 7.08%</v>
      </c>
      <c r="B27" s="147">
        <f>B21*Inputs!$C$6</f>
        <v>8.825812519112171</v>
      </c>
      <c r="C27" s="97">
        <f>C21*Inputs!$C$6</f>
        <v>18.865172286274529</v>
      </c>
      <c r="D27" s="97"/>
      <c r="E27" s="97"/>
      <c r="F27" s="99">
        <f>F21*Inputs!$C$6</f>
        <v>9.074354196232818</v>
      </c>
      <c r="G27" s="147"/>
      <c r="H27" s="97"/>
      <c r="I27" s="97"/>
      <c r="J27" s="97"/>
      <c r="K27" s="99"/>
      <c r="L27" s="147">
        <f>L21*Inputs!$C$6</f>
        <v>8.825812519112171</v>
      </c>
      <c r="M27" s="97">
        <f>M21*Inputs!$C$6</f>
        <v>18.865172286274529</v>
      </c>
      <c r="N27" s="97"/>
      <c r="O27" s="97"/>
      <c r="P27" s="99">
        <f>P21*Inputs!$C$6</f>
        <v>9.074354196232818</v>
      </c>
    </row>
    <row r="28" spans="1:16" ht="15">
      <c r="A28" s="806" t="str">
        <f>'Resid TSM Sum by Rate Schedule'!A27</f>
        <v>Annualized Meter Cost at 10.78%</v>
      </c>
      <c r="B28" s="628">
        <f>B22*Inputs!$C$7</f>
        <v>26.451903591233965</v>
      </c>
      <c r="C28" s="627">
        <f>C22*Inputs!$C$7</f>
        <v>28.136902326762538</v>
      </c>
      <c r="D28" s="627"/>
      <c r="E28" s="627"/>
      <c r="F28" s="626">
        <f>F22*Inputs!$C$7</f>
        <v>26.493618642929221</v>
      </c>
      <c r="G28" s="628"/>
      <c r="H28" s="627"/>
      <c r="I28" s="627"/>
      <c r="J28" s="627"/>
      <c r="K28" s="626"/>
      <c r="L28" s="628">
        <f>L22*Inputs!$C$7</f>
        <v>26.451903591233965</v>
      </c>
      <c r="M28" s="627">
        <f>M22*Inputs!$C$7</f>
        <v>28.136902326762538</v>
      </c>
      <c r="N28" s="627"/>
      <c r="O28" s="627"/>
      <c r="P28" s="626">
        <f>P22*Inputs!$C$7</f>
        <v>26.493618642929221</v>
      </c>
    </row>
    <row r="29" spans="1:16">
      <c r="A29" s="621" t="s">
        <v>380</v>
      </c>
      <c r="B29" s="147">
        <f>SUM(B26:B28)</f>
        <v>64.475551310503732</v>
      </c>
      <c r="C29" s="97">
        <f>SUM(C26:C28)</f>
        <v>144.04973140164341</v>
      </c>
      <c r="D29" s="97"/>
      <c r="E29" s="97"/>
      <c r="F29" s="99">
        <f>SUM(F26:F28)</f>
        <v>66.445547469027929</v>
      </c>
      <c r="G29" s="147"/>
      <c r="H29" s="97"/>
      <c r="I29" s="97"/>
      <c r="J29" s="97"/>
      <c r="K29" s="99"/>
      <c r="L29" s="147">
        <f t="shared" ref="L29:P29" si="4">SUM(L26:L28)</f>
        <v>64.475551310503732</v>
      </c>
      <c r="M29" s="97">
        <f t="shared" si="4"/>
        <v>144.04973140164341</v>
      </c>
      <c r="N29" s="97"/>
      <c r="O29" s="97"/>
      <c r="P29" s="99">
        <f t="shared" si="4"/>
        <v>66.445547469027929</v>
      </c>
    </row>
    <row r="30" spans="1:16">
      <c r="A30" s="519"/>
      <c r="B30" s="53"/>
      <c r="C30" s="87"/>
      <c r="D30" s="87"/>
      <c r="E30" s="87"/>
      <c r="F30" s="376"/>
      <c r="G30" s="53"/>
      <c r="H30" s="87"/>
      <c r="I30" s="87"/>
      <c r="J30" s="87"/>
      <c r="K30" s="376"/>
      <c r="L30" s="53"/>
      <c r="M30" s="87"/>
      <c r="N30" s="87"/>
      <c r="O30" s="87"/>
      <c r="P30" s="376"/>
    </row>
    <row r="31" spans="1:16">
      <c r="A31" s="145" t="s">
        <v>50</v>
      </c>
      <c r="B31" s="178">
        <f>'Distribution O&amp;M Allocations'!$O$20</f>
        <v>7.4483130360936691</v>
      </c>
      <c r="C31" s="88">
        <f>'Distribution O&amp;M Allocations'!$O$20</f>
        <v>7.4483130360936691</v>
      </c>
      <c r="D31" s="88"/>
      <c r="E31" s="88"/>
      <c r="F31" s="374">
        <f>'Distribution O&amp;M Allocations'!$O$20</f>
        <v>7.4483130360936691</v>
      </c>
      <c r="G31" s="178"/>
      <c r="H31" s="88"/>
      <c r="I31" s="88"/>
      <c r="J31" s="88"/>
      <c r="K31" s="88"/>
      <c r="L31" s="178">
        <f>'Distribution O&amp;M Allocations'!$O$20</f>
        <v>7.4483130360936691</v>
      </c>
      <c r="M31" s="88">
        <f>'Distribution O&amp;M Allocations'!$O$20</f>
        <v>7.4483130360936691</v>
      </c>
      <c r="N31" s="88"/>
      <c r="O31" s="88"/>
      <c r="P31" s="374">
        <f>'Distribution O&amp;M Allocations'!$O$20</f>
        <v>7.4483130360936691</v>
      </c>
    </row>
    <row r="32" spans="1:16">
      <c r="A32" s="146"/>
      <c r="B32" s="11"/>
      <c r="C32" s="12"/>
      <c r="D32" s="12"/>
      <c r="E32" s="12"/>
      <c r="F32" s="101"/>
      <c r="G32" s="11"/>
      <c r="H32" s="12"/>
      <c r="I32" s="12"/>
      <c r="J32" s="12"/>
      <c r="K32" s="101"/>
      <c r="L32" s="11"/>
      <c r="M32" s="12"/>
      <c r="N32" s="12"/>
      <c r="O32" s="12"/>
      <c r="P32" s="101"/>
    </row>
    <row r="33" spans="1:16">
      <c r="A33" s="145" t="s">
        <v>61</v>
      </c>
      <c r="B33" s="380">
        <f>'Cust Service Cost Allocations'!$O$76</f>
        <v>52.536506967829744</v>
      </c>
      <c r="C33" s="109">
        <f>'Cust Service Cost Allocations'!$O$76</f>
        <v>52.536506967829744</v>
      </c>
      <c r="D33" s="109"/>
      <c r="E33" s="109"/>
      <c r="F33" s="381">
        <f>'Cust Service Cost Allocations'!$O$76</f>
        <v>52.536506967829744</v>
      </c>
      <c r="G33" s="380"/>
      <c r="H33" s="109"/>
      <c r="I33" s="109"/>
      <c r="J33" s="109"/>
      <c r="K33" s="381"/>
      <c r="L33" s="380">
        <f>'Cust Service Cost Allocations'!$O$76</f>
        <v>52.536506967829744</v>
      </c>
      <c r="M33" s="109">
        <f>'Cust Service Cost Allocations'!$O$76</f>
        <v>52.536506967829744</v>
      </c>
      <c r="N33" s="109"/>
      <c r="O33" s="109"/>
      <c r="P33" s="381">
        <f>'Cust Service Cost Allocations'!$O$76</f>
        <v>52.536506967829744</v>
      </c>
    </row>
    <row r="34" spans="1:16">
      <c r="A34" s="146"/>
      <c r="B34" s="11"/>
      <c r="C34" s="12"/>
      <c r="D34" s="12"/>
      <c r="E34" s="12"/>
      <c r="F34" s="101"/>
      <c r="G34" s="11"/>
      <c r="H34" s="12"/>
      <c r="I34" s="12"/>
      <c r="J34" s="12"/>
      <c r="K34" s="101"/>
      <c r="L34" s="11"/>
      <c r="M34" s="12"/>
      <c r="N34" s="12"/>
      <c r="O34" s="12"/>
      <c r="P34" s="101"/>
    </row>
    <row r="35" spans="1:16" ht="13.5" thickBot="1">
      <c r="A35" s="622" t="s">
        <v>98</v>
      </c>
      <c r="B35" s="377">
        <f>B29+B31+B33</f>
        <v>124.46037131442714</v>
      </c>
      <c r="C35" s="378">
        <f>C29+C31+C33</f>
        <v>204.03455140556684</v>
      </c>
      <c r="D35" s="378"/>
      <c r="E35" s="378"/>
      <c r="F35" s="379">
        <f>F29+F31+F33</f>
        <v>126.43036747295133</v>
      </c>
      <c r="G35" s="377"/>
      <c r="H35" s="378"/>
      <c r="I35" s="378"/>
      <c r="J35" s="378"/>
      <c r="K35" s="379"/>
      <c r="L35" s="377">
        <f t="shared" ref="L35:P35" si="5">L29+L31+L33</f>
        <v>124.46037131442714</v>
      </c>
      <c r="M35" s="378">
        <f t="shared" si="5"/>
        <v>204.03455140556684</v>
      </c>
      <c r="N35" s="378"/>
      <c r="O35" s="378"/>
      <c r="P35" s="379">
        <f t="shared" si="5"/>
        <v>126.43036747295133</v>
      </c>
    </row>
    <row r="36" spans="1:16">
      <c r="A36" s="113"/>
      <c r="B36" s="113"/>
      <c r="C36" s="113"/>
      <c r="D36" s="113"/>
      <c r="E36" s="113"/>
      <c r="F36" s="113"/>
    </row>
    <row r="39" spans="1:16">
      <c r="A39" t="s">
        <v>3</v>
      </c>
    </row>
    <row r="47" spans="1:16">
      <c r="A47" s="19"/>
      <c r="B47" s="19"/>
      <c r="C47" s="19"/>
      <c r="D47" s="19"/>
      <c r="E47" s="19"/>
      <c r="F47" s="19"/>
    </row>
    <row r="59" spans="1:6">
      <c r="A59" s="19"/>
      <c r="B59" s="19"/>
      <c r="C59" s="19"/>
      <c r="D59" s="19"/>
      <c r="E59" s="19"/>
      <c r="F59" s="19"/>
    </row>
  </sheetData>
  <mergeCells count="5">
    <mergeCell ref="A1:F1"/>
    <mergeCell ref="B3:F3"/>
    <mergeCell ref="G3:K3"/>
    <mergeCell ref="L3:P3"/>
    <mergeCell ref="B2:P2"/>
  </mergeCells>
  <printOptions horizontalCentered="1"/>
  <pageMargins left="0.75" right="0.75" top="1" bottom="1" header="0.5" footer="0.5"/>
  <pageSetup scale="94" orientation="portrait" r:id="rId1"/>
  <headerFooter alignWithMargins="0">
    <oddFooter>&amp;L&amp;F
&amp;A&amp;R&amp;P of 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Sheet21">
    <tabColor rgb="FF00642D"/>
    <pageSetUpPr fitToPage="1"/>
  </sheetPr>
  <dimension ref="A1:P61"/>
  <sheetViews>
    <sheetView zoomScaleNormal="100" workbookViewId="0">
      <selection activeCell="A26" sqref="A26:A28"/>
    </sheetView>
  </sheetViews>
  <sheetFormatPr defaultRowHeight="12.75"/>
  <cols>
    <col min="1" max="1" width="41.140625" customWidth="1"/>
    <col min="2" max="6" width="11.140625" customWidth="1"/>
    <col min="9" max="9" width="11.28515625" bestFit="1" customWidth="1"/>
    <col min="10" max="10" width="9.28515625" bestFit="1" customWidth="1"/>
    <col min="13" max="13" width="10.28515625" bestFit="1" customWidth="1"/>
    <col min="14" max="14" width="11.28515625" bestFit="1" customWidth="1"/>
  </cols>
  <sheetData>
    <row r="1" spans="1:16" ht="18.75" thickBot="1">
      <c r="A1" s="826" t="s">
        <v>433</v>
      </c>
      <c r="B1" s="845"/>
      <c r="C1" s="845"/>
      <c r="D1" s="845"/>
      <c r="E1" s="845"/>
      <c r="F1" s="845"/>
    </row>
    <row r="2" spans="1:16" ht="13.5" thickBot="1">
      <c r="A2" s="131"/>
      <c r="B2" s="827" t="s">
        <v>78</v>
      </c>
      <c r="C2" s="828"/>
      <c r="D2" s="828"/>
      <c r="E2" s="828"/>
      <c r="F2" s="828"/>
      <c r="G2" s="828"/>
      <c r="H2" s="828"/>
      <c r="I2" s="828"/>
      <c r="J2" s="828"/>
      <c r="K2" s="828"/>
      <c r="L2" s="828"/>
      <c r="M2" s="828"/>
      <c r="N2" s="828"/>
      <c r="O2" s="828"/>
      <c r="P2" s="829"/>
    </row>
    <row r="3" spans="1:16" ht="13.5" thickBot="1">
      <c r="A3" s="196"/>
      <c r="B3" s="827" t="s">
        <v>0</v>
      </c>
      <c r="C3" s="828"/>
      <c r="D3" s="828"/>
      <c r="E3" s="828"/>
      <c r="F3" s="829"/>
      <c r="G3" s="827" t="s">
        <v>1</v>
      </c>
      <c r="H3" s="828"/>
      <c r="I3" s="828"/>
      <c r="J3" s="828"/>
      <c r="K3" s="829"/>
      <c r="L3" s="827" t="s">
        <v>439</v>
      </c>
      <c r="M3" s="828"/>
      <c r="N3" s="828"/>
      <c r="O3" s="828"/>
      <c r="P3" s="829"/>
    </row>
    <row r="4" spans="1:16" ht="13.5" thickBot="1">
      <c r="A4" s="102" t="s">
        <v>47</v>
      </c>
      <c r="B4" s="616" t="s">
        <v>103</v>
      </c>
      <c r="C4" s="617" t="s">
        <v>128</v>
      </c>
      <c r="D4" s="617" t="s">
        <v>129</v>
      </c>
      <c r="E4" s="617" t="s">
        <v>130</v>
      </c>
      <c r="F4" s="618" t="s">
        <v>2</v>
      </c>
      <c r="G4" s="483" t="s">
        <v>103</v>
      </c>
      <c r="H4" s="484" t="s">
        <v>128</v>
      </c>
      <c r="I4" s="484" t="s">
        <v>129</v>
      </c>
      <c r="J4" s="484" t="s">
        <v>130</v>
      </c>
      <c r="K4" s="485" t="s">
        <v>168</v>
      </c>
      <c r="L4" s="483" t="s">
        <v>103</v>
      </c>
      <c r="M4" s="484" t="s">
        <v>128</v>
      </c>
      <c r="N4" s="484" t="s">
        <v>129</v>
      </c>
      <c r="O4" s="484" t="s">
        <v>130</v>
      </c>
      <c r="P4" s="485" t="s">
        <v>2</v>
      </c>
    </row>
    <row r="5" spans="1:16">
      <c r="A5" s="621"/>
      <c r="B5" s="39"/>
      <c r="C5" s="176"/>
      <c r="D5" s="176"/>
      <c r="E5" s="176"/>
      <c r="F5" s="176"/>
      <c r="G5" s="39"/>
      <c r="H5" s="176"/>
      <c r="I5" s="176"/>
      <c r="J5" s="176"/>
      <c r="K5" s="373"/>
      <c r="L5" s="39"/>
      <c r="M5" s="176"/>
      <c r="N5" s="176"/>
      <c r="O5" s="176"/>
      <c r="P5" s="373"/>
    </row>
    <row r="6" spans="1:16">
      <c r="A6" s="145"/>
      <c r="B6" s="40"/>
      <c r="C6" s="84"/>
      <c r="D6" s="84"/>
      <c r="E6" s="84"/>
      <c r="F6" s="84"/>
      <c r="G6" s="40"/>
      <c r="H6" s="84"/>
      <c r="I6" s="84"/>
      <c r="J6" s="84"/>
      <c r="K6" s="161"/>
      <c r="L6" s="40"/>
      <c r="M6" s="84"/>
      <c r="N6" s="84"/>
      <c r="O6" s="84"/>
      <c r="P6" s="161"/>
    </row>
    <row r="7" spans="1:16">
      <c r="A7" s="145" t="s">
        <v>49</v>
      </c>
      <c r="B7" s="40"/>
      <c r="C7" s="84"/>
      <c r="D7" s="84"/>
      <c r="E7" s="84"/>
      <c r="F7" s="84"/>
      <c r="G7" s="40"/>
      <c r="H7" s="84"/>
      <c r="I7" s="84"/>
      <c r="J7" s="84"/>
      <c r="K7" s="161"/>
      <c r="L7" s="40"/>
      <c r="M7" s="84"/>
      <c r="N7" s="84"/>
      <c r="O7" s="84"/>
      <c r="P7" s="161"/>
    </row>
    <row r="8" spans="1:16">
      <c r="A8" s="517"/>
      <c r="B8" s="41"/>
      <c r="C8" s="85"/>
      <c r="D8" s="85"/>
      <c r="E8" s="85"/>
      <c r="F8" s="85"/>
      <c r="G8" s="41"/>
      <c r="H8" s="85"/>
      <c r="I8" s="85"/>
      <c r="J8" s="85"/>
      <c r="K8" s="162"/>
      <c r="L8" s="41"/>
      <c r="M8" s="85"/>
      <c r="N8" s="85"/>
      <c r="O8" s="85"/>
      <c r="P8" s="162"/>
    </row>
    <row r="9" spans="1:16">
      <c r="A9" s="145" t="s">
        <v>53</v>
      </c>
      <c r="B9" s="139">
        <f>'Sch A-TC TSM Summary'!B9*Inputs!$C$12</f>
        <v>377.40275172180628</v>
      </c>
      <c r="C9" s="37">
        <f>'Sch A-TC TSM Summary'!C9*Inputs!$C$12</f>
        <v>1254.4098721392807</v>
      </c>
      <c r="D9" s="37"/>
      <c r="E9" s="37"/>
      <c r="F9" s="37">
        <f>'Sch A-TC TSM Summary'!F9*Inputs!$C$12</f>
        <v>399.11457654038418</v>
      </c>
      <c r="G9" s="139"/>
      <c r="H9" s="37"/>
      <c r="I9" s="37"/>
      <c r="J9" s="37"/>
      <c r="K9" s="38"/>
      <c r="L9" s="139">
        <f>'Sch A-TC TSM Summary'!L9*Inputs!$C$12</f>
        <v>377.40275172180628</v>
      </c>
      <c r="M9" s="37">
        <f>'Sch A-TC TSM Summary'!M9*Inputs!$C$12</f>
        <v>1254.4098721392807</v>
      </c>
      <c r="N9" s="37"/>
      <c r="O9" s="37"/>
      <c r="P9" s="38">
        <f>'Sch A-TC TSM Summary'!P9*Inputs!$C$12</f>
        <v>399.11457654038418</v>
      </c>
    </row>
    <row r="10" spans="1:16">
      <c r="A10" s="145" t="s">
        <v>51</v>
      </c>
      <c r="B10" s="139">
        <f>'Sch A-TC TSM Summary'!B10*Inputs!$C$12</f>
        <v>129.72079798577622</v>
      </c>
      <c r="C10" s="37">
        <f>'Sch A-TC TSM Summary'!C10*Inputs!$C$12</f>
        <v>277.27817669084789</v>
      </c>
      <c r="D10" s="37"/>
      <c r="E10" s="37"/>
      <c r="F10" s="37">
        <f>'Sch A-TC TSM Summary'!F10*Inputs!$C$12</f>
        <v>133.37383555245873</v>
      </c>
      <c r="G10" s="139"/>
      <c r="H10" s="37"/>
      <c r="I10" s="37"/>
      <c r="J10" s="37"/>
      <c r="K10" s="38"/>
      <c r="L10" s="139">
        <f>'Sch A-TC TSM Summary'!L10*Inputs!$C$12</f>
        <v>129.72079798577622</v>
      </c>
      <c r="M10" s="37">
        <f>'Sch A-TC TSM Summary'!M10*Inputs!$C$12</f>
        <v>277.27817669084789</v>
      </c>
      <c r="N10" s="37"/>
      <c r="O10" s="37"/>
      <c r="P10" s="38">
        <f>'Sch A-TC TSM Summary'!P10*Inputs!$C$12</f>
        <v>133.37383555245873</v>
      </c>
    </row>
    <row r="11" spans="1:16">
      <c r="A11" s="145" t="s">
        <v>52</v>
      </c>
      <c r="B11" s="139">
        <f>'Sch A-TC TSM Summary'!B11*Inputs!$C$12</f>
        <v>255.33392233749493</v>
      </c>
      <c r="C11" s="37">
        <f>'Sch A-TC TSM Summary'!C11*Inputs!$C$12</f>
        <v>271.59881362565193</v>
      </c>
      <c r="D11" s="37"/>
      <c r="E11" s="37"/>
      <c r="F11" s="37">
        <f>'Sch A-TC TSM Summary'!F11*Inputs!$C$12</f>
        <v>255.73658779153774</v>
      </c>
      <c r="G11" s="139"/>
      <c r="H11" s="37"/>
      <c r="I11" s="37"/>
      <c r="J11" s="37"/>
      <c r="K11" s="38"/>
      <c r="L11" s="139">
        <f>'Sch A-TC TSM Summary'!L11*Inputs!$C$12</f>
        <v>255.33392233749493</v>
      </c>
      <c r="M11" s="37">
        <f>'Sch A-TC TSM Summary'!M11*Inputs!$C$12</f>
        <v>271.59881362565193</v>
      </c>
      <c r="N11" s="37"/>
      <c r="O11" s="37"/>
      <c r="P11" s="38">
        <f>'Sch A-TC TSM Summary'!P11*Inputs!$C$12</f>
        <v>255.73658779153774</v>
      </c>
    </row>
    <row r="12" spans="1:16">
      <c r="A12" s="518"/>
      <c r="B12" s="42"/>
      <c r="C12" s="86"/>
      <c r="D12" s="86"/>
      <c r="E12" s="86"/>
      <c r="F12" s="86"/>
      <c r="G12" s="42"/>
      <c r="H12" s="86"/>
      <c r="I12" s="86"/>
      <c r="J12" s="86"/>
      <c r="K12" s="375"/>
      <c r="L12" s="42"/>
      <c r="M12" s="86"/>
      <c r="N12" s="86"/>
      <c r="O12" s="86"/>
      <c r="P12" s="375"/>
    </row>
    <row r="13" spans="1:16">
      <c r="A13" s="145" t="s">
        <v>35</v>
      </c>
      <c r="B13" s="142">
        <f>SUM(B9:B11)</f>
        <v>762.45747204507734</v>
      </c>
      <c r="C13" s="34">
        <f>SUM(C9:C11)</f>
        <v>1803.2868624557805</v>
      </c>
      <c r="D13" s="34"/>
      <c r="E13" s="34"/>
      <c r="F13" s="34">
        <f>SUM(F9:F11)</f>
        <v>788.22499988438074</v>
      </c>
      <c r="G13" s="142"/>
      <c r="H13" s="34"/>
      <c r="I13" s="34"/>
      <c r="J13" s="34"/>
      <c r="K13" s="44"/>
      <c r="L13" s="142">
        <f t="shared" ref="L13:P13" si="0">SUM(L9:L11)</f>
        <v>762.45747204507734</v>
      </c>
      <c r="M13" s="34">
        <f t="shared" si="0"/>
        <v>1803.2868624557805</v>
      </c>
      <c r="N13" s="34"/>
      <c r="O13" s="34"/>
      <c r="P13" s="44">
        <f t="shared" si="0"/>
        <v>788.22499988438074</v>
      </c>
    </row>
    <row r="14" spans="1:16">
      <c r="A14" s="518"/>
      <c r="B14" s="42"/>
      <c r="C14" s="86"/>
      <c r="D14" s="86"/>
      <c r="E14" s="86"/>
      <c r="F14" s="86"/>
      <c r="G14" s="42"/>
      <c r="H14" s="86"/>
      <c r="I14" s="86"/>
      <c r="J14" s="86"/>
      <c r="K14" s="375"/>
      <c r="L14" s="42"/>
      <c r="M14" s="86"/>
      <c r="N14" s="86"/>
      <c r="O14" s="86"/>
      <c r="P14" s="375"/>
    </row>
    <row r="15" spans="1:16">
      <c r="A15" s="145" t="s">
        <v>65</v>
      </c>
      <c r="B15" s="142"/>
      <c r="C15" s="34"/>
      <c r="D15" s="34"/>
      <c r="E15" s="34"/>
      <c r="F15" s="34"/>
      <c r="G15" s="142"/>
      <c r="H15" s="34"/>
      <c r="I15" s="34"/>
      <c r="J15" s="34"/>
      <c r="K15" s="44"/>
      <c r="L15" s="142"/>
      <c r="M15" s="34"/>
      <c r="N15" s="34"/>
      <c r="O15" s="34"/>
      <c r="P15" s="44"/>
    </row>
    <row r="16" spans="1:16">
      <c r="A16" s="519">
        <f>Inputs!C3</f>
        <v>2.7723662892949787E-2</v>
      </c>
      <c r="B16" s="142"/>
      <c r="C16" s="34"/>
      <c r="D16" s="34"/>
      <c r="E16" s="34"/>
      <c r="F16" s="34"/>
      <c r="G16" s="142"/>
      <c r="H16" s="34"/>
      <c r="I16" s="34"/>
      <c r="J16" s="34"/>
      <c r="K16" s="44"/>
      <c r="L16" s="142"/>
      <c r="M16" s="34"/>
      <c r="N16" s="34"/>
      <c r="O16" s="34"/>
      <c r="P16" s="44"/>
    </row>
    <row r="17" spans="1:16">
      <c r="A17" s="40" t="s">
        <v>64</v>
      </c>
      <c r="B17" s="142"/>
      <c r="C17" s="34"/>
      <c r="D17" s="34"/>
      <c r="E17" s="34"/>
      <c r="F17" s="34"/>
      <c r="G17" s="142"/>
      <c r="H17" s="34"/>
      <c r="I17" s="34"/>
      <c r="J17" s="34"/>
      <c r="K17" s="44"/>
      <c r="L17" s="142"/>
      <c r="M17" s="34"/>
      <c r="N17" s="34"/>
      <c r="O17" s="34"/>
      <c r="P17" s="44"/>
    </row>
    <row r="18" spans="1:16">
      <c r="A18" s="53">
        <f>Inputs!C4</f>
        <v>1.5023E-2</v>
      </c>
      <c r="B18" s="142"/>
      <c r="C18" s="34"/>
      <c r="D18" s="34"/>
      <c r="E18" s="34"/>
      <c r="F18" s="34"/>
      <c r="G18" s="142"/>
      <c r="H18" s="34"/>
      <c r="I18" s="34"/>
      <c r="J18" s="34"/>
      <c r="K18" s="44"/>
      <c r="L18" s="142"/>
      <c r="M18" s="34"/>
      <c r="N18" s="34"/>
      <c r="O18" s="34"/>
      <c r="P18" s="44"/>
    </row>
    <row r="19" spans="1:16">
      <c r="A19" s="519"/>
      <c r="B19" s="142"/>
      <c r="C19" s="34"/>
      <c r="D19" s="34"/>
      <c r="E19" s="34"/>
      <c r="F19" s="34"/>
      <c r="G19" s="142"/>
      <c r="H19" s="34"/>
      <c r="I19" s="34"/>
      <c r="J19" s="34"/>
      <c r="K19" s="44"/>
      <c r="L19" s="142"/>
      <c r="M19" s="34"/>
      <c r="N19" s="34"/>
      <c r="O19" s="34"/>
      <c r="P19" s="44"/>
    </row>
    <row r="20" spans="1:16">
      <c r="A20" s="520" t="s">
        <v>111</v>
      </c>
      <c r="B20" s="142">
        <f>(B9*(1+$A$16)*(1+$A$18))</f>
        <v>393.69264537317736</v>
      </c>
      <c r="C20" s="34">
        <f t="shared" ref="C20:F20" si="1">(C9*(1+$A$16)*(1+$A$18))</f>
        <v>1308.5541604868163</v>
      </c>
      <c r="D20" s="34"/>
      <c r="E20" s="34"/>
      <c r="F20" s="34">
        <f t="shared" si="1"/>
        <v>416.34162106216689</v>
      </c>
      <c r="G20" s="142"/>
      <c r="H20" s="34"/>
      <c r="I20" s="34"/>
      <c r="J20" s="34"/>
      <c r="K20" s="44"/>
      <c r="L20" s="142">
        <f>(L9*(1+$A$16)*(1+$A$18))</f>
        <v>393.69264537317736</v>
      </c>
      <c r="M20" s="34">
        <f t="shared" ref="M20:P20" si="2">(M9*(1+$A$16)*(1+$A$18))</f>
        <v>1308.5541604868163</v>
      </c>
      <c r="N20" s="34"/>
      <c r="O20" s="34"/>
      <c r="P20" s="44">
        <f t="shared" si="2"/>
        <v>416.34162106216689</v>
      </c>
    </row>
    <row r="21" spans="1:16">
      <c r="A21" s="520" t="s">
        <v>51</v>
      </c>
      <c r="B21" s="142">
        <f t="shared" ref="B21:F22" si="3">(B10*(1+$A$16)*(1+$A$18))</f>
        <v>135.31995695830255</v>
      </c>
      <c r="C21" s="34">
        <f t="shared" si="3"/>
        <v>289.24637774272958</v>
      </c>
      <c r="D21" s="34"/>
      <c r="E21" s="34"/>
      <c r="F21" s="34">
        <f t="shared" si="3"/>
        <v>139.13067115345223</v>
      </c>
      <c r="G21" s="142"/>
      <c r="H21" s="34"/>
      <c r="I21" s="34"/>
      <c r="J21" s="34"/>
      <c r="K21" s="44"/>
      <c r="L21" s="142">
        <f t="shared" ref="L21:P22" si="4">(L10*(1+$A$16)*(1+$A$18))</f>
        <v>135.31995695830255</v>
      </c>
      <c r="M21" s="34">
        <f t="shared" si="4"/>
        <v>289.24637774272958</v>
      </c>
      <c r="N21" s="34"/>
      <c r="O21" s="34"/>
      <c r="P21" s="44">
        <f t="shared" si="4"/>
        <v>139.13067115345223</v>
      </c>
    </row>
    <row r="22" spans="1:16">
      <c r="A22" s="520" t="s">
        <v>52</v>
      </c>
      <c r="B22" s="142">
        <f t="shared" si="3"/>
        <v>266.35494012681727</v>
      </c>
      <c r="C22" s="34">
        <f t="shared" si="3"/>
        <v>283.32187544651987</v>
      </c>
      <c r="D22" s="34"/>
      <c r="E22" s="34"/>
      <c r="F22" s="34">
        <f t="shared" si="3"/>
        <v>266.7749858924596</v>
      </c>
      <c r="G22" s="142"/>
      <c r="H22" s="34"/>
      <c r="I22" s="34"/>
      <c r="J22" s="34"/>
      <c r="K22" s="44"/>
      <c r="L22" s="142">
        <f t="shared" si="4"/>
        <v>266.35494012681727</v>
      </c>
      <c r="M22" s="34">
        <f t="shared" si="4"/>
        <v>283.32187544651987</v>
      </c>
      <c r="N22" s="34"/>
      <c r="O22" s="34"/>
      <c r="P22" s="44">
        <f t="shared" si="4"/>
        <v>266.7749858924596</v>
      </c>
    </row>
    <row r="23" spans="1:16">
      <c r="A23" s="519"/>
      <c r="B23" s="142"/>
      <c r="C23" s="34"/>
      <c r="D23" s="34"/>
      <c r="E23" s="34"/>
      <c r="F23" s="34"/>
      <c r="G23" s="142"/>
      <c r="H23" s="34"/>
      <c r="I23" s="34"/>
      <c r="J23" s="34"/>
      <c r="K23" s="44"/>
      <c r="L23" s="142"/>
      <c r="M23" s="34"/>
      <c r="N23" s="34"/>
      <c r="O23" s="34"/>
      <c r="P23" s="44"/>
    </row>
    <row r="24" spans="1:16">
      <c r="A24" s="145" t="s">
        <v>35</v>
      </c>
      <c r="B24" s="142">
        <f>SUM(B20:B22)</f>
        <v>795.36754245829718</v>
      </c>
      <c r="C24" s="34">
        <f>SUM(C20:C22)</f>
        <v>1881.1224136760659</v>
      </c>
      <c r="D24" s="34"/>
      <c r="E24" s="34"/>
      <c r="F24" s="34">
        <f>SUM(F20:F22)</f>
        <v>822.24727810807872</v>
      </c>
      <c r="G24" s="142"/>
      <c r="H24" s="34"/>
      <c r="I24" s="34"/>
      <c r="J24" s="34"/>
      <c r="K24" s="44"/>
      <c r="L24" s="142">
        <f t="shared" ref="L24:P24" si="5">SUM(L20:L22)</f>
        <v>795.36754245829718</v>
      </c>
      <c r="M24" s="34">
        <f t="shared" si="5"/>
        <v>1881.1224136760659</v>
      </c>
      <c r="N24" s="34"/>
      <c r="O24" s="34"/>
      <c r="P24" s="44">
        <f t="shared" si="5"/>
        <v>822.24727810807872</v>
      </c>
    </row>
    <row r="25" spans="1:16">
      <c r="A25" s="518"/>
      <c r="B25" s="42"/>
      <c r="C25" s="86"/>
      <c r="D25" s="86"/>
      <c r="E25" s="86"/>
      <c r="F25" s="86"/>
      <c r="G25" s="142"/>
      <c r="H25" s="34"/>
      <c r="I25" s="34"/>
      <c r="J25" s="34"/>
      <c r="K25" s="44"/>
      <c r="L25" s="142"/>
      <c r="M25" s="34"/>
      <c r="N25" s="34"/>
      <c r="O25" s="34"/>
      <c r="P25" s="44"/>
    </row>
    <row r="26" spans="1:16">
      <c r="A26" s="806" t="str">
        <f>'Resid TSM Sum by Rate Schedule'!A25</f>
        <v>Annualized Transformer Cost at 8.05%</v>
      </c>
      <c r="B26" s="147">
        <f>B20*Inputs!$C$5</f>
        <v>31.683857548920496</v>
      </c>
      <c r="C26" s="97">
        <f>C20*Inputs!$C$5</f>
        <v>105.31068868866465</v>
      </c>
      <c r="D26" s="97"/>
      <c r="E26" s="97"/>
      <c r="F26" s="97">
        <f>F20*Inputs!$C$5</f>
        <v>33.506616820124805</v>
      </c>
      <c r="G26" s="147"/>
      <c r="H26" s="97"/>
      <c r="I26" s="97"/>
      <c r="J26" s="97"/>
      <c r="K26" s="99"/>
      <c r="L26" s="147">
        <f>L20*Inputs!$C$5</f>
        <v>31.683857548920496</v>
      </c>
      <c r="M26" s="97">
        <f>M20*Inputs!$C$5</f>
        <v>105.31068868866465</v>
      </c>
      <c r="N26" s="97"/>
      <c r="O26" s="97"/>
      <c r="P26" s="99">
        <f>P20*Inputs!$C$5</f>
        <v>33.506616820124805</v>
      </c>
    </row>
    <row r="27" spans="1:16">
      <c r="A27" s="806" t="str">
        <f>'Resid TSM Sum by Rate Schedule'!A26</f>
        <v>Annualized Services Cost at 7.08%</v>
      </c>
      <c r="B27" s="147">
        <f>B21*Inputs!$C$6</f>
        <v>9.5772780650368183</v>
      </c>
      <c r="C27" s="97">
        <f>C21*Inputs!$C$6</f>
        <v>20.471429722671314</v>
      </c>
      <c r="D27" s="97"/>
      <c r="E27" s="97"/>
      <c r="F27" s="97">
        <f>F21*Inputs!$C$6</f>
        <v>9.8469815906193556</v>
      </c>
      <c r="G27" s="147"/>
      <c r="H27" s="97"/>
      <c r="I27" s="97"/>
      <c r="J27" s="97"/>
      <c r="K27" s="99"/>
      <c r="L27" s="147">
        <f>L21*Inputs!$C$6</f>
        <v>9.5772780650368183</v>
      </c>
      <c r="M27" s="97">
        <f>M21*Inputs!$C$6</f>
        <v>20.471429722671314</v>
      </c>
      <c r="N27" s="97"/>
      <c r="O27" s="97"/>
      <c r="P27" s="99">
        <f>P21*Inputs!$C$6</f>
        <v>9.8469815906193556</v>
      </c>
    </row>
    <row r="28" spans="1:16" ht="15">
      <c r="A28" s="806" t="str">
        <f>'Resid TSM Sum by Rate Schedule'!A27</f>
        <v>Annualized Meter Cost at 10.78%</v>
      </c>
      <c r="B28" s="628">
        <f>B22*Inputs!$C$7</f>
        <v>28.704126163364055</v>
      </c>
      <c r="C28" s="627">
        <f>C22*Inputs!$C$7</f>
        <v>30.532592539059962</v>
      </c>
      <c r="D28" s="627"/>
      <c r="E28" s="627"/>
      <c r="F28" s="627">
        <f>F22*Inputs!$C$7</f>
        <v>28.749393004090358</v>
      </c>
      <c r="G28" s="628"/>
      <c r="H28" s="627"/>
      <c r="I28" s="627"/>
      <c r="J28" s="627"/>
      <c r="K28" s="626"/>
      <c r="L28" s="628">
        <f>L22*Inputs!$C$7</f>
        <v>28.704126163364055</v>
      </c>
      <c r="M28" s="627">
        <f>M22*Inputs!$C$7</f>
        <v>30.532592539059962</v>
      </c>
      <c r="N28" s="627"/>
      <c r="O28" s="627"/>
      <c r="P28" s="626">
        <f>P22*Inputs!$C$7</f>
        <v>28.749393004090358</v>
      </c>
    </row>
    <row r="29" spans="1:16">
      <c r="A29" s="621" t="s">
        <v>380</v>
      </c>
      <c r="B29" s="147">
        <f>SUM(B26:B28)</f>
        <v>69.965261777321373</v>
      </c>
      <c r="C29" s="97">
        <f>SUM(C26:C28)</f>
        <v>156.31471095039592</v>
      </c>
      <c r="D29" s="97"/>
      <c r="E29" s="97"/>
      <c r="F29" s="97">
        <f>SUM(F26:F28)</f>
        <v>72.10299141483452</v>
      </c>
      <c r="G29" s="147"/>
      <c r="H29" s="97"/>
      <c r="I29" s="97"/>
      <c r="J29" s="97"/>
      <c r="K29" s="99"/>
      <c r="L29" s="147">
        <f t="shared" ref="L29:P29" si="6">SUM(L26:L28)</f>
        <v>69.965261777321373</v>
      </c>
      <c r="M29" s="97">
        <f t="shared" si="6"/>
        <v>156.31471095039592</v>
      </c>
      <c r="N29" s="97"/>
      <c r="O29" s="97"/>
      <c r="P29" s="99">
        <f t="shared" si="6"/>
        <v>72.10299141483452</v>
      </c>
    </row>
    <row r="30" spans="1:16">
      <c r="A30" s="519"/>
      <c r="B30" s="53"/>
      <c r="C30" s="87"/>
      <c r="D30" s="87"/>
      <c r="E30" s="87"/>
      <c r="F30" s="87"/>
      <c r="G30" s="53"/>
      <c r="H30" s="87"/>
      <c r="I30" s="87"/>
      <c r="J30" s="87"/>
      <c r="K30" s="376"/>
      <c r="L30" s="53"/>
      <c r="M30" s="87"/>
      <c r="N30" s="87"/>
      <c r="O30" s="87"/>
      <c r="P30" s="376"/>
    </row>
    <row r="31" spans="1:16">
      <c r="A31" s="40" t="s">
        <v>50</v>
      </c>
      <c r="B31" s="178">
        <f>'Sch A-TC TSM Summary'!B$31*Inputs!$C$13</f>
        <v>7.8471533192772371</v>
      </c>
      <c r="C31" s="88">
        <f>'Sch A-TC TSM Summary'!C$31*Inputs!$C$13</f>
        <v>7.8471533192772371</v>
      </c>
      <c r="D31" s="88"/>
      <c r="E31" s="88"/>
      <c r="F31" s="88">
        <f>'Sch A-TC TSM Summary'!F$31*Inputs!$C$13</f>
        <v>7.8471533192772371</v>
      </c>
      <c r="G31" s="178"/>
      <c r="H31" s="88"/>
      <c r="I31" s="88"/>
      <c r="J31" s="88"/>
      <c r="K31" s="374"/>
      <c r="L31" s="178">
        <f>'Sch A-TC TSM Summary'!L$31*Inputs!$C$13</f>
        <v>7.8471533192772371</v>
      </c>
      <c r="M31" s="88">
        <f>'Sch A-TC TSM Summary'!M$31*Inputs!$C$13</f>
        <v>7.8471533192772371</v>
      </c>
      <c r="N31" s="88"/>
      <c r="O31" s="88"/>
      <c r="P31" s="374">
        <f>'Sch A-TC TSM Summary'!P$31*Inputs!$C$13</f>
        <v>7.8471533192772371</v>
      </c>
    </row>
    <row r="32" spans="1:16" ht="15">
      <c r="A32" s="40" t="s">
        <v>453</v>
      </c>
      <c r="B32" s="730">
        <f>-Inputs!$C$18</f>
        <v>-3.0284021924274875</v>
      </c>
      <c r="C32" s="729">
        <f>-Inputs!$C$18</f>
        <v>-3.0284021924274875</v>
      </c>
      <c r="D32" s="729"/>
      <c r="E32" s="729"/>
      <c r="F32" s="729">
        <f>-Inputs!$C$18</f>
        <v>-3.0284021924274875</v>
      </c>
      <c r="G32" s="730"/>
      <c r="H32" s="729"/>
      <c r="I32" s="729"/>
      <c r="J32" s="729"/>
      <c r="K32" s="731"/>
      <c r="L32" s="730">
        <f>-Inputs!$C$18</f>
        <v>-3.0284021924274875</v>
      </c>
      <c r="M32" s="729">
        <f>-Inputs!$C$18</f>
        <v>-3.0284021924274875</v>
      </c>
      <c r="N32" s="729"/>
      <c r="O32" s="729"/>
      <c r="P32" s="731">
        <f>-Inputs!$C$18</f>
        <v>-3.0284021924274875</v>
      </c>
    </row>
    <row r="33" spans="1:16">
      <c r="A33" s="40" t="s">
        <v>451</v>
      </c>
      <c r="B33" s="178">
        <f>B31+B32</f>
        <v>4.8187511268497492</v>
      </c>
      <c r="C33" s="88">
        <f t="shared" ref="C33:P33" si="7">C31+C32</f>
        <v>4.8187511268497492</v>
      </c>
      <c r="D33" s="88"/>
      <c r="E33" s="88"/>
      <c r="F33" s="88">
        <f t="shared" si="7"/>
        <v>4.8187511268497492</v>
      </c>
      <c r="G33" s="178"/>
      <c r="H33" s="88"/>
      <c r="I33" s="88"/>
      <c r="J33" s="88"/>
      <c r="K33" s="374"/>
      <c r="L33" s="178">
        <f t="shared" si="7"/>
        <v>4.8187511268497492</v>
      </c>
      <c r="M33" s="88">
        <f t="shared" si="7"/>
        <v>4.8187511268497492</v>
      </c>
      <c r="N33" s="88"/>
      <c r="O33" s="88"/>
      <c r="P33" s="374">
        <f t="shared" si="7"/>
        <v>4.8187511268497492</v>
      </c>
    </row>
    <row r="34" spans="1:16">
      <c r="A34" s="146"/>
      <c r="B34" s="178"/>
      <c r="C34" s="88"/>
      <c r="D34" s="88"/>
      <c r="E34" s="88"/>
      <c r="F34" s="88"/>
      <c r="G34" s="178"/>
      <c r="H34" s="88"/>
      <c r="I34" s="88"/>
      <c r="J34" s="88"/>
      <c r="K34" s="374"/>
      <c r="L34" s="178"/>
      <c r="M34" s="88"/>
      <c r="N34" s="88"/>
      <c r="O34" s="88"/>
      <c r="P34" s="374"/>
    </row>
    <row r="35" spans="1:16">
      <c r="A35" s="145" t="s">
        <v>61</v>
      </c>
      <c r="B35" s="178">
        <f>'Sch A-TC TSM Summary'!B33*Inputs!$C$14</f>
        <v>56.488244546548472</v>
      </c>
      <c r="C35" s="88">
        <f>'Sch A-TC TSM Summary'!C33*Inputs!$C$14</f>
        <v>56.488244546548472</v>
      </c>
      <c r="D35" s="88"/>
      <c r="E35" s="88"/>
      <c r="F35" s="88">
        <f>'Sch A-TC TSM Summary'!F33*Inputs!$C$14</f>
        <v>56.488244546548472</v>
      </c>
      <c r="G35" s="178"/>
      <c r="H35" s="88"/>
      <c r="I35" s="88"/>
      <c r="J35" s="88"/>
      <c r="K35" s="374"/>
      <c r="L35" s="178">
        <f>'Sch A-TC TSM Summary'!L33*Inputs!$C$14</f>
        <v>56.488244546548472</v>
      </c>
      <c r="M35" s="88">
        <f>'Sch A-TC TSM Summary'!M33*Inputs!$C$14</f>
        <v>56.488244546548472</v>
      </c>
      <c r="N35" s="88"/>
      <c r="O35" s="88"/>
      <c r="P35" s="374">
        <f>'Sch A-TC TSM Summary'!P33*Inputs!$C$14</f>
        <v>56.488244546548472</v>
      </c>
    </row>
    <row r="36" spans="1:16">
      <c r="A36" s="146"/>
      <c r="B36" s="11"/>
      <c r="C36" s="12"/>
      <c r="D36" s="12"/>
      <c r="E36" s="12"/>
      <c r="F36" s="12"/>
      <c r="G36" s="11"/>
      <c r="H36" s="12"/>
      <c r="I36" s="12"/>
      <c r="J36" s="12"/>
      <c r="K36" s="101"/>
      <c r="L36" s="11"/>
      <c r="M36" s="12"/>
      <c r="N36" s="12"/>
      <c r="O36" s="12"/>
      <c r="P36" s="101"/>
    </row>
    <row r="37" spans="1:16" ht="13.5" thickBot="1">
      <c r="A37" s="622" t="s">
        <v>98</v>
      </c>
      <c r="B37" s="377">
        <f>B29+B33+B35</f>
        <v>131.27225745071959</v>
      </c>
      <c r="C37" s="378">
        <f>C29+C33+C35</f>
        <v>217.62170662379413</v>
      </c>
      <c r="D37" s="378"/>
      <c r="E37" s="378"/>
      <c r="F37" s="378">
        <f>F29+F33+F35</f>
        <v>133.40998708823275</v>
      </c>
      <c r="G37" s="377"/>
      <c r="H37" s="378"/>
      <c r="I37" s="378"/>
      <c r="J37" s="378"/>
      <c r="K37" s="379"/>
      <c r="L37" s="377">
        <f t="shared" ref="L37:P37" si="8">L29+L33+L35</f>
        <v>131.27225745071959</v>
      </c>
      <c r="M37" s="378">
        <f t="shared" si="8"/>
        <v>217.62170662379413</v>
      </c>
      <c r="N37" s="378"/>
      <c r="O37" s="378"/>
      <c r="P37" s="379">
        <f t="shared" si="8"/>
        <v>133.40998708823275</v>
      </c>
    </row>
    <row r="38" spans="1:16">
      <c r="A38" s="113"/>
      <c r="B38" s="113"/>
      <c r="C38" s="113"/>
      <c r="D38" s="113"/>
      <c r="E38" s="113"/>
      <c r="F38" s="113"/>
    </row>
    <row r="41" spans="1:16">
      <c r="A41" t="s">
        <v>3</v>
      </c>
    </row>
    <row r="49" spans="1:6">
      <c r="A49" s="19"/>
      <c r="B49" s="19"/>
      <c r="C49" s="19"/>
      <c r="D49" s="19"/>
      <c r="E49" s="19"/>
      <c r="F49" s="19"/>
    </row>
    <row r="61" spans="1:6">
      <c r="A61" s="19"/>
      <c r="B61" s="19"/>
      <c r="C61" s="19"/>
      <c r="D61" s="19"/>
      <c r="E61" s="19"/>
      <c r="F61" s="19"/>
    </row>
  </sheetData>
  <mergeCells count="5">
    <mergeCell ref="A1:F1"/>
    <mergeCell ref="B3:F3"/>
    <mergeCell ref="G3:K3"/>
    <mergeCell ref="L3:P3"/>
    <mergeCell ref="B2:P2"/>
  </mergeCells>
  <printOptions horizontalCentered="1"/>
  <pageMargins left="0.75" right="0.75" top="1" bottom="1" header="0.5" footer="0.5"/>
  <pageSetup scale="94" orientation="portrait" r:id="rId1"/>
  <headerFooter alignWithMargins="0">
    <oddFooter>&amp;L&amp;F
&amp;A&amp;R&amp;P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theme="9" tint="-0.499984740745262"/>
    <pageSetUpPr fitToPage="1"/>
  </sheetPr>
  <dimension ref="A1:AB78"/>
  <sheetViews>
    <sheetView zoomScale="85" zoomScaleNormal="85" workbookViewId="0">
      <selection activeCell="B2" sqref="B2:F2"/>
    </sheetView>
  </sheetViews>
  <sheetFormatPr defaultRowHeight="12.75"/>
  <cols>
    <col min="1" max="1" width="18.28515625" customWidth="1"/>
    <col min="2" max="2" width="1.5703125" style="173" customWidth="1"/>
    <col min="3" max="12" width="14.28515625" style="56" customWidth="1"/>
    <col min="13" max="13" width="14" style="56" customWidth="1"/>
    <col min="14" max="14" width="1.85546875" style="173" customWidth="1"/>
    <col min="15" max="15" width="13.85546875" style="56" hidden="1" customWidth="1"/>
    <col min="16" max="16" width="10.5703125" bestFit="1" customWidth="1"/>
    <col min="17" max="17" width="13.28515625" bestFit="1" customWidth="1"/>
    <col min="18" max="18" width="10.5703125" bestFit="1" customWidth="1"/>
    <col min="19" max="19" width="9.5703125" bestFit="1" customWidth="1"/>
    <col min="20" max="20" width="9.28515625" bestFit="1" customWidth="1"/>
    <col min="21" max="21" width="11.5703125" bestFit="1" customWidth="1"/>
    <col min="22" max="22" width="9.5703125" bestFit="1" customWidth="1"/>
    <col min="23" max="23" width="10.5703125" bestFit="1" customWidth="1"/>
    <col min="24" max="24" width="9.28515625" bestFit="1" customWidth="1"/>
    <col min="25" max="25" width="9.5703125" bestFit="1" customWidth="1"/>
    <col min="26" max="26" width="13.140625" bestFit="1" customWidth="1"/>
    <col min="27" max="27" width="10.5703125" bestFit="1" customWidth="1"/>
  </cols>
  <sheetData>
    <row r="1" spans="1:28" ht="13.5" thickBot="1">
      <c r="B1" s="23"/>
      <c r="C1" s="823" t="s">
        <v>218</v>
      </c>
      <c r="D1" s="824"/>
      <c r="E1" s="824"/>
      <c r="F1" s="824"/>
      <c r="G1" s="824"/>
      <c r="H1" s="824"/>
      <c r="I1" s="824"/>
      <c r="J1" s="824"/>
      <c r="K1" s="824"/>
      <c r="L1" s="824"/>
      <c r="M1" s="825"/>
      <c r="P1" s="357" t="s">
        <v>102</v>
      </c>
      <c r="Q1" s="52" t="s">
        <v>206</v>
      </c>
    </row>
    <row r="2" spans="1:28" ht="38.25">
      <c r="B2" s="23"/>
      <c r="C2" s="189" t="s">
        <v>28</v>
      </c>
      <c r="D2" s="189" t="s">
        <v>29</v>
      </c>
      <c r="E2" s="189" t="s">
        <v>30</v>
      </c>
      <c r="F2" s="189" t="s">
        <v>219</v>
      </c>
      <c r="G2" s="189" t="s">
        <v>75</v>
      </c>
      <c r="H2" s="189" t="s">
        <v>73</v>
      </c>
      <c r="I2" s="189" t="s">
        <v>392</v>
      </c>
      <c r="J2" s="189" t="s">
        <v>74</v>
      </c>
      <c r="K2" s="189" t="s">
        <v>105</v>
      </c>
      <c r="L2" s="189" t="s">
        <v>104</v>
      </c>
      <c r="M2" s="623" t="s">
        <v>265</v>
      </c>
      <c r="Q2" s="687" t="s">
        <v>28</v>
      </c>
      <c r="R2" s="688" t="s">
        <v>29</v>
      </c>
      <c r="S2" s="688" t="s">
        <v>30</v>
      </c>
      <c r="T2" s="688" t="s">
        <v>31</v>
      </c>
      <c r="U2" s="689" t="s">
        <v>75</v>
      </c>
      <c r="V2" s="690" t="s">
        <v>73</v>
      </c>
      <c r="W2" s="690" t="s">
        <v>392</v>
      </c>
      <c r="X2" s="690" t="s">
        <v>74</v>
      </c>
      <c r="Y2" s="690" t="s">
        <v>105</v>
      </c>
      <c r="Z2" s="690" t="s">
        <v>104</v>
      </c>
      <c r="AA2" s="691" t="s">
        <v>2</v>
      </c>
    </row>
    <row r="3" spans="1:28" ht="13.5" thickBot="1">
      <c r="A3" s="52" t="s">
        <v>2</v>
      </c>
      <c r="C3" s="439">
        <f>'Resid Cust Cost Summary'!B36</f>
        <v>133.66645170847474</v>
      </c>
      <c r="D3" s="439">
        <f>'Resid Cust Cost Summary'!C36</f>
        <v>122.40449557285905</v>
      </c>
      <c r="E3" s="439">
        <f>'Resid Cust Cost Summary'!D36</f>
        <v>200.67014976031945</v>
      </c>
      <c r="F3" s="439">
        <f>'Resid Cust Cost Summary'!E36</f>
        <v>345.89366594074602</v>
      </c>
      <c r="G3" s="439">
        <f>'Resid Cust Cost Summary'!F36</f>
        <v>301.82034272816213</v>
      </c>
      <c r="H3" s="439">
        <f>'Resid Cust Cost Summary'!G36</f>
        <v>147.2360565495525</v>
      </c>
      <c r="I3" s="439">
        <f>'Resid Cust Cost Summary'!H36</f>
        <v>142.60744464053209</v>
      </c>
      <c r="J3" s="439">
        <f>'Resid Cust Cost Summary'!I36</f>
        <v>157.61678084623432</v>
      </c>
      <c r="K3" s="439">
        <f>'Resid Cust Cost Summary'!J36</f>
        <v>144.03973633301192</v>
      </c>
      <c r="L3" s="439">
        <f>'Resid Cust Cost Summary'!K36</f>
        <v>162.53351395388711</v>
      </c>
      <c r="M3" s="439">
        <f>(C3*Q3+D3*R3+E3*S3+F3*T3+G3*U3+H3*V3+I3*W3+J3*X3+K3*Y3+L3*Z3)/AA3</f>
        <v>134.01769600284743</v>
      </c>
      <c r="P3" s="802">
        <f>M3-'Resid Cust Cost Summary'!L36</f>
        <v>0</v>
      </c>
      <c r="Q3" s="685">
        <f>'Resid Cust Fcst '!H40</f>
        <v>1257541</v>
      </c>
      <c r="R3" s="582">
        <f>'Resid Cust Fcst '!O40</f>
        <v>3622</v>
      </c>
      <c r="S3" s="582">
        <f>'Resid Cust Fcst '!V40</f>
        <v>235</v>
      </c>
      <c r="T3" s="582">
        <f>'Resid Cust Fcst '!AC40</f>
        <v>400</v>
      </c>
      <c r="U3" s="582">
        <f>'Resid Cust Fcst '!AJ40</f>
        <v>44</v>
      </c>
      <c r="V3" s="582">
        <f>'Resid Cust Fcst '!AQ40</f>
        <v>1091</v>
      </c>
      <c r="W3" s="32">
        <f>'Resid Cust Fcst '!AX40</f>
        <v>4517</v>
      </c>
      <c r="X3" s="582">
        <f>'Resid Cust Fcst '!BE40</f>
        <v>3557</v>
      </c>
      <c r="Y3" s="582">
        <f>'Resid Cust Fcst '!BL40</f>
        <v>306</v>
      </c>
      <c r="Z3" s="582">
        <f>'Resid Cust Fcst '!BS40</f>
        <v>8267</v>
      </c>
      <c r="AA3" s="686">
        <f>SUM(Q3:Z3)</f>
        <v>1279580</v>
      </c>
      <c r="AB3" s="543"/>
    </row>
    <row r="4" spans="1:28">
      <c r="C4" s="439"/>
      <c r="D4" s="439"/>
      <c r="E4" s="439"/>
      <c r="F4" s="439"/>
      <c r="G4" s="439"/>
      <c r="H4" s="439"/>
      <c r="I4" s="439"/>
      <c r="J4" s="439"/>
      <c r="K4" s="439"/>
      <c r="L4" s="439"/>
      <c r="M4" s="439"/>
      <c r="P4" s="405"/>
      <c r="Q4" s="56"/>
      <c r="R4" s="56"/>
      <c r="S4" s="56"/>
      <c r="T4" s="56"/>
      <c r="U4" s="56"/>
      <c r="V4" s="56"/>
      <c r="W4" s="56"/>
      <c r="X4" s="56"/>
      <c r="Y4" s="56"/>
      <c r="Z4" s="56"/>
    </row>
    <row r="5" spans="1:28">
      <c r="C5" s="439"/>
      <c r="D5" s="439"/>
      <c r="E5" s="439"/>
      <c r="F5" s="439"/>
      <c r="G5" s="439"/>
      <c r="H5" s="439"/>
      <c r="I5" s="439"/>
      <c r="J5" s="439"/>
      <c r="K5" s="439"/>
      <c r="L5" s="439"/>
      <c r="M5" s="439"/>
      <c r="P5" s="405"/>
      <c r="Q5" s="56"/>
      <c r="R5" s="56"/>
      <c r="S5" s="56"/>
      <c r="T5" s="56"/>
      <c r="U5" s="56"/>
      <c r="V5" s="56"/>
      <c r="W5" s="56"/>
      <c r="X5" s="56"/>
      <c r="Y5" s="56"/>
      <c r="Z5" s="56"/>
    </row>
    <row r="6" spans="1:28" ht="13.5" thickBot="1">
      <c r="B6" s="23"/>
      <c r="C6" s="818" t="s">
        <v>83</v>
      </c>
      <c r="D6" s="819"/>
      <c r="E6" s="819"/>
      <c r="F6" s="819"/>
      <c r="G6" s="819"/>
      <c r="H6" s="819"/>
      <c r="I6" s="819"/>
      <c r="J6" s="819"/>
      <c r="K6" s="819"/>
      <c r="L6" s="819"/>
      <c r="M6" s="820"/>
      <c r="P6" s="405"/>
      <c r="Q6" s="436" t="s">
        <v>206</v>
      </c>
      <c r="R6" s="56"/>
      <c r="S6" s="56"/>
      <c r="T6" s="56"/>
      <c r="U6" s="56"/>
      <c r="V6" s="56"/>
      <c r="W6" s="56"/>
      <c r="X6" s="56"/>
      <c r="Y6" s="56"/>
      <c r="Z6" s="56"/>
    </row>
    <row r="7" spans="1:28" ht="38.25">
      <c r="B7" s="23"/>
      <c r="C7" s="440" t="s">
        <v>425</v>
      </c>
      <c r="D7" s="440" t="s">
        <v>76</v>
      </c>
      <c r="E7" s="440" t="s">
        <v>77</v>
      </c>
      <c r="F7" s="440" t="s">
        <v>80</v>
      </c>
      <c r="G7" s="440"/>
      <c r="H7" s="440"/>
      <c r="I7" s="440"/>
      <c r="J7" s="440"/>
      <c r="K7" s="440"/>
      <c r="L7" s="440"/>
      <c r="M7" s="624" t="s">
        <v>265</v>
      </c>
      <c r="P7" s="405"/>
      <c r="Q7" s="676" t="s">
        <v>425</v>
      </c>
      <c r="R7" s="677" t="s">
        <v>76</v>
      </c>
      <c r="S7" s="677" t="s">
        <v>77</v>
      </c>
      <c r="T7" s="677" t="s">
        <v>80</v>
      </c>
      <c r="U7" s="678" t="s">
        <v>2</v>
      </c>
      <c r="W7" s="56"/>
      <c r="X7" s="56"/>
      <c r="Y7" s="56"/>
      <c r="Z7" s="56"/>
    </row>
    <row r="8" spans="1:28">
      <c r="B8" s="23"/>
      <c r="D8" s="476"/>
      <c r="E8" s="476"/>
      <c r="F8" s="476"/>
      <c r="G8" s="476"/>
      <c r="H8" s="476"/>
      <c r="I8" s="476"/>
      <c r="J8" s="476"/>
      <c r="K8" s="476"/>
      <c r="L8" s="476"/>
      <c r="M8" s="477"/>
      <c r="P8" s="405"/>
      <c r="Q8" s="11"/>
      <c r="R8" s="475"/>
      <c r="S8" s="475"/>
      <c r="T8" s="475"/>
      <c r="U8" s="680"/>
      <c r="W8" s="56"/>
      <c r="X8" s="56"/>
      <c r="Y8" s="56"/>
      <c r="Z8" s="56"/>
    </row>
    <row r="9" spans="1:28">
      <c r="A9" s="52" t="s">
        <v>0</v>
      </c>
      <c r="D9" s="439"/>
      <c r="E9" s="439"/>
      <c r="F9" s="439"/>
      <c r="G9" s="439"/>
      <c r="H9" s="439"/>
      <c r="I9" s="439"/>
      <c r="J9" s="439"/>
      <c r="K9" s="439"/>
      <c r="L9" s="439"/>
      <c r="M9" s="439"/>
      <c r="P9" s="405"/>
      <c r="Q9" s="11"/>
      <c r="R9" s="437"/>
      <c r="S9" s="437"/>
      <c r="T9" s="437"/>
      <c r="U9" s="682"/>
      <c r="W9" s="56"/>
      <c r="X9" s="56"/>
      <c r="Y9" s="56"/>
      <c r="Z9" s="56"/>
    </row>
    <row r="10" spans="1:28">
      <c r="A10" s="392" t="s">
        <v>208</v>
      </c>
      <c r="C10" s="439">
        <f>'Sch TOU-A Cust Cost Summary'!B37</f>
        <v>188.33776894268959</v>
      </c>
      <c r="D10" s="439">
        <f>'Sch A-TC Cust Cost Summary'!B37</f>
        <v>131.27225745071959</v>
      </c>
      <c r="E10" s="439">
        <f>'Sch A-TOU Cust Cost Summary'!B37</f>
        <v>230.97077315582771</v>
      </c>
      <c r="F10" s="439">
        <f>'Sch UM Cust Cost Summary'!B37</f>
        <v>163.28658232722933</v>
      </c>
      <c r="G10" s="439"/>
      <c r="H10" s="439"/>
      <c r="I10" s="439"/>
      <c r="J10" s="439"/>
      <c r="K10" s="439"/>
      <c r="L10" s="439"/>
      <c r="M10" s="439">
        <f>(C10*Q10+D10*R10+E10*S10+F10*T10)/U10</f>
        <v>181.55079649322238</v>
      </c>
      <c r="P10" s="732">
        <f>M10-'Sm Comm Cust Cost Summary'!B36</f>
        <v>0</v>
      </c>
      <c r="Q10" s="681">
        <f>'Sm Comm Cust Fcst'!F42</f>
        <v>50502</v>
      </c>
      <c r="R10" s="437">
        <f>'Sm Comm Cust Fcst'!M42</f>
        <v>6815</v>
      </c>
      <c r="S10" s="437">
        <f>'Sm Comm Cust Fcst'!T42</f>
        <v>3</v>
      </c>
      <c r="T10" s="437">
        <f>'Sm Comm Cust Fcst'!AA42</f>
        <v>14</v>
      </c>
      <c r="U10" s="682">
        <f>SUM(Q10:T10)</f>
        <v>57334</v>
      </c>
      <c r="W10" s="56"/>
      <c r="X10" s="56"/>
      <c r="Y10" s="56"/>
      <c r="Z10" s="56"/>
      <c r="AB10" s="543"/>
    </row>
    <row r="11" spans="1:28">
      <c r="A11" s="392" t="s">
        <v>207</v>
      </c>
      <c r="C11" s="439">
        <f>'Sch TOU-A Cust Cost Summary'!C37</f>
        <v>364.9823696433283</v>
      </c>
      <c r="D11" s="439">
        <f>'Sch A-TC Cust Cost Summary'!C37</f>
        <v>217.62170662379413</v>
      </c>
      <c r="E11" s="439">
        <f>'Sch A-TOU Cust Cost Summary'!C37</f>
        <v>432.50678040723483</v>
      </c>
      <c r="F11" s="439">
        <f>'Sch UM Cust Cost Summary'!C37</f>
        <v>196.77529199456683</v>
      </c>
      <c r="G11" s="439"/>
      <c r="H11" s="439"/>
      <c r="I11" s="439"/>
      <c r="J11" s="439"/>
      <c r="K11" s="439"/>
      <c r="L11" s="439"/>
      <c r="M11" s="439">
        <f>(C11*Q11+D11*R11+E11*S11+F11*T11)/U11</f>
        <v>364.58216343225092</v>
      </c>
      <c r="P11" s="733">
        <f>M11-'Sm Comm Cust Cost Summary'!C36</f>
        <v>0</v>
      </c>
      <c r="Q11" s="681">
        <f>'Sm Comm Cust Fcst'!F43</f>
        <v>64965</v>
      </c>
      <c r="R11" s="437">
        <f>'Sm Comm Cust Fcst'!M43</f>
        <v>173</v>
      </c>
      <c r="S11" s="437">
        <f>'Sm Comm Cust Fcst'!T43</f>
        <v>36</v>
      </c>
      <c r="T11" s="437">
        <f>'Sm Comm Cust Fcst'!AA43</f>
        <v>18</v>
      </c>
      <c r="U11" s="682">
        <f>SUM(Q11:T11)</f>
        <v>65192</v>
      </c>
      <c r="W11" s="56"/>
      <c r="X11" s="56"/>
      <c r="Y11" s="56"/>
      <c r="Z11" s="56"/>
      <c r="AB11" s="543"/>
    </row>
    <row r="12" spans="1:28">
      <c r="A12" s="392" t="s">
        <v>209</v>
      </c>
      <c r="C12" s="439">
        <f>'Sch TOU-A Cust Cost Summary'!D37</f>
        <v>885.88144924845199</v>
      </c>
      <c r="D12" s="439"/>
      <c r="E12" s="439">
        <f>'Sch A-TOU Cust Cost Summary'!D37</f>
        <v>1131.160219655862</v>
      </c>
      <c r="F12" s="439">
        <f>'Sch UM Cust Cost Summary'!D37</f>
        <v>414.53127443312445</v>
      </c>
      <c r="G12" s="439"/>
      <c r="H12" s="439"/>
      <c r="I12" s="439"/>
      <c r="J12" s="439"/>
      <c r="K12" s="439"/>
      <c r="L12" s="439"/>
      <c r="M12" s="439">
        <f>(C12*Q12+D12*R12+E12*S12+F12*T12)/U12</f>
        <v>888.41447093760598</v>
      </c>
      <c r="P12" s="733">
        <f>M12-'Sm Comm Cust Cost Summary'!D36</f>
        <v>0</v>
      </c>
      <c r="Q12" s="681">
        <f>'Sm Comm Cust Fcst'!F44</f>
        <v>8502</v>
      </c>
      <c r="R12" s="437">
        <f>'Sm Comm Cust Fcst'!M44</f>
        <v>0</v>
      </c>
      <c r="S12" s="437">
        <f>'Sm Comm Cust Fcst'!T44</f>
        <v>118</v>
      </c>
      <c r="T12" s="437">
        <f>'Sm Comm Cust Fcst'!AA44</f>
        <v>15</v>
      </c>
      <c r="U12" s="682">
        <f>SUM(Q12:T12)</f>
        <v>8635</v>
      </c>
      <c r="W12" s="56"/>
      <c r="X12" s="56"/>
      <c r="Y12" s="56"/>
      <c r="Z12" s="56"/>
      <c r="AB12" s="543"/>
    </row>
    <row r="13" spans="1:28" ht="15">
      <c r="A13" s="392" t="s">
        <v>210</v>
      </c>
      <c r="C13" s="439">
        <f>'Sch TOU-A Cust Cost Summary'!E37</f>
        <v>1329.945968975703</v>
      </c>
      <c r="D13" s="439"/>
      <c r="E13" s="439">
        <f>'Sch A-TOU Cust Cost Summary'!E37</f>
        <v>1653.7587240971727</v>
      </c>
      <c r="F13" s="439">
        <f>'Sch UM Cust Cost Summary'!E37</f>
        <v>2752.5902260817279</v>
      </c>
      <c r="G13" s="439"/>
      <c r="H13" s="439"/>
      <c r="I13" s="439"/>
      <c r="J13" s="439"/>
      <c r="K13" s="439"/>
      <c r="L13" s="439"/>
      <c r="M13" s="439">
        <f>(C13*Q13+D13*R13+E13*S13+F13*T13)/U13</f>
        <v>1339.8225082063159</v>
      </c>
      <c r="P13" s="733">
        <f>M13-'Sm Comm Cust Cost Summary'!E36</f>
        <v>0</v>
      </c>
      <c r="Q13" s="683">
        <f>'Sm Comm Cust Fcst'!F45</f>
        <v>747</v>
      </c>
      <c r="R13" s="438">
        <f>'Sm Comm Cust Fcst'!M45</f>
        <v>0</v>
      </c>
      <c r="S13" s="438">
        <f>'Sm Comm Cust Fcst'!T45</f>
        <v>1</v>
      </c>
      <c r="T13" s="445">
        <f>'Sm Comm Cust Fcst'!AA45</f>
        <v>5</v>
      </c>
      <c r="U13" s="684">
        <f>SUM(Q13:T13)</f>
        <v>753</v>
      </c>
      <c r="W13" s="56"/>
      <c r="X13" s="56"/>
      <c r="Y13" s="56"/>
      <c r="Z13" s="56"/>
      <c r="AB13" s="543"/>
    </row>
    <row r="14" spans="1:28" ht="13.5" thickBot="1">
      <c r="B14" s="174"/>
      <c r="C14" s="442">
        <f>'Sch TOU-A Cust Cost Summary'!F37</f>
        <v>334.74251396258472</v>
      </c>
      <c r="D14" s="442">
        <f>'Sch A-TC Cust Cost Summary'!F37</f>
        <v>133.40998708823275</v>
      </c>
      <c r="E14" s="442">
        <f>'Sch A-TOU Cust Cost Summary'!F37</f>
        <v>958.18874087099243</v>
      </c>
      <c r="F14" s="442">
        <f>'Sch UM Cust Cost Summary'!F37</f>
        <v>496.32476260363302</v>
      </c>
      <c r="G14" s="442"/>
      <c r="H14" s="442"/>
      <c r="I14" s="442"/>
      <c r="J14" s="442"/>
      <c r="K14" s="442"/>
      <c r="L14" s="442"/>
      <c r="M14" s="443">
        <f>(C14*Q14+D14*R14+E14*S14+F14*T14)/U14</f>
        <v>324.88757121945588</v>
      </c>
      <c r="P14" s="733">
        <f>M14-'Sm Comm Cust Cost Summary'!F36</f>
        <v>0</v>
      </c>
      <c r="Q14" s="681">
        <f>'Sm Comm Cust Fcst'!F41</f>
        <v>124716</v>
      </c>
      <c r="R14" s="437">
        <f>'Sm Comm Cust Fcst'!M41</f>
        <v>6988</v>
      </c>
      <c r="S14" s="437">
        <f>'Sm Comm Cust Fcst'!T41</f>
        <v>158</v>
      </c>
      <c r="T14" s="437">
        <f>'Sm Comm Cust Fcst'!AA41</f>
        <v>52</v>
      </c>
      <c r="U14" s="682">
        <f>SUM(Q14:T14)</f>
        <v>131914</v>
      </c>
      <c r="W14" s="56"/>
      <c r="X14" s="56"/>
      <c r="Y14" s="56"/>
      <c r="Z14" s="56"/>
      <c r="AB14" s="543"/>
    </row>
    <row r="15" spans="1:28" ht="13.5" thickTop="1">
      <c r="A15" s="52" t="s">
        <v>1</v>
      </c>
      <c r="D15" s="439"/>
      <c r="E15" s="439"/>
      <c r="F15" s="439"/>
      <c r="G15" s="439"/>
      <c r="H15" s="439"/>
      <c r="I15" s="439"/>
      <c r="J15" s="439"/>
      <c r="K15" s="439"/>
      <c r="L15" s="439"/>
      <c r="M15" s="439"/>
      <c r="P15" s="733"/>
      <c r="Q15" s="681"/>
      <c r="R15" s="437"/>
      <c r="S15" s="437"/>
      <c r="T15" s="437"/>
      <c r="U15" s="682"/>
      <c r="W15" s="56"/>
      <c r="X15" s="56"/>
      <c r="Y15" s="56"/>
      <c r="Z15" s="56"/>
      <c r="AB15" s="543"/>
    </row>
    <row r="16" spans="1:28">
      <c r="A16" s="392" t="s">
        <v>208</v>
      </c>
      <c r="C16" s="439">
        <f>'Sch TOU-A Cust Cost Summary'!G37</f>
        <v>455.60429853980759</v>
      </c>
      <c r="D16" s="439"/>
      <c r="E16" s="439"/>
      <c r="F16" s="439"/>
      <c r="G16" s="439"/>
      <c r="H16" s="439"/>
      <c r="I16" s="439"/>
      <c r="J16" s="439"/>
      <c r="K16" s="439"/>
      <c r="L16" s="439"/>
      <c r="M16" s="439">
        <f>(C16*Q16+D16*R16+E16*S16+F16*T16)/U16</f>
        <v>455.60429853980759</v>
      </c>
      <c r="P16" s="733">
        <f>M16-'Sm Comm Cust Cost Summary'!G36</f>
        <v>0</v>
      </c>
      <c r="Q16" s="681">
        <f>'Sm Comm Cust Fcst'!G42</f>
        <v>6</v>
      </c>
      <c r="R16" s="437"/>
      <c r="S16" s="437"/>
      <c r="T16" s="437"/>
      <c r="U16" s="682">
        <f>SUM(Q16:T16)</f>
        <v>6</v>
      </c>
      <c r="W16" s="56"/>
      <c r="X16" s="56"/>
      <c r="Y16" s="56"/>
      <c r="Z16" s="56"/>
      <c r="AB16" s="543"/>
    </row>
    <row r="17" spans="1:28">
      <c r="A17" s="392" t="s">
        <v>207</v>
      </c>
      <c r="C17" s="439">
        <f>'Sch TOU-A Cust Cost Summary'!H37</f>
        <v>455.60429853980759</v>
      </c>
      <c r="D17" s="439"/>
      <c r="E17" s="439"/>
      <c r="F17" s="439"/>
      <c r="G17" s="439"/>
      <c r="H17" s="439"/>
      <c r="I17" s="439"/>
      <c r="J17" s="439"/>
      <c r="K17" s="439"/>
      <c r="L17" s="439"/>
      <c r="M17" s="439">
        <f>(C17*Q17+D17*R17+E17*S17+F17*T17)/U17</f>
        <v>455.60429853980753</v>
      </c>
      <c r="P17" s="733">
        <f>M17-'Sm Comm Cust Cost Summary'!H36</f>
        <v>0</v>
      </c>
      <c r="Q17" s="681">
        <f>'Sm Comm Cust Fcst'!G43</f>
        <v>9</v>
      </c>
      <c r="R17" s="437"/>
      <c r="S17" s="437"/>
      <c r="T17" s="437"/>
      <c r="U17" s="682">
        <f>SUM(Q17:T17)</f>
        <v>9</v>
      </c>
      <c r="W17" s="56"/>
      <c r="X17" s="56"/>
      <c r="Y17" s="56"/>
      <c r="Z17" s="56"/>
      <c r="AB17" s="543"/>
    </row>
    <row r="18" spans="1:28">
      <c r="A18" s="392" t="s">
        <v>209</v>
      </c>
      <c r="C18" s="439">
        <f>'Sch TOU-A Cust Cost Summary'!I37</f>
        <v>455.60429853980759</v>
      </c>
      <c r="D18" s="439"/>
      <c r="E18" s="439"/>
      <c r="F18" s="439"/>
      <c r="G18" s="439"/>
      <c r="H18" s="439"/>
      <c r="I18" s="439"/>
      <c r="J18" s="439"/>
      <c r="K18" s="439"/>
      <c r="L18" s="439"/>
      <c r="M18" s="439">
        <f>(C18*Q18+D18*R18+E18*S18+F18*T18)/U18</f>
        <v>455.60429853980759</v>
      </c>
      <c r="P18" s="733">
        <f>M18-'Sm Comm Cust Cost Summary'!I36</f>
        <v>0</v>
      </c>
      <c r="Q18" s="681">
        <f>'Sm Comm Cust Fcst'!G44</f>
        <v>2</v>
      </c>
      <c r="R18" s="437"/>
      <c r="S18" s="437"/>
      <c r="T18" s="437"/>
      <c r="U18" s="682">
        <f>SUM(Q18:T18)</f>
        <v>2</v>
      </c>
      <c r="W18" s="56"/>
      <c r="X18" s="56"/>
      <c r="Y18" s="56"/>
      <c r="Z18" s="56"/>
      <c r="AB18" s="543"/>
    </row>
    <row r="19" spans="1:28">
      <c r="A19" s="392" t="s">
        <v>210</v>
      </c>
      <c r="C19" s="439">
        <f>'Sch TOU-A Cust Cost Summary'!J37</f>
        <v>587.90453100602474</v>
      </c>
      <c r="D19" s="439"/>
      <c r="E19" s="439"/>
      <c r="F19" s="439"/>
      <c r="G19" s="439"/>
      <c r="H19" s="439"/>
      <c r="I19" s="439"/>
      <c r="J19" s="439"/>
      <c r="K19" s="439"/>
      <c r="L19" s="439"/>
      <c r="M19" s="439">
        <f>(C19*Q19+D19*R19+E19*S19+F19*T19)/U19</f>
        <v>587.90453100602474</v>
      </c>
      <c r="P19" s="733">
        <f>M19-'Sm Comm Cust Cost Summary'!J36</f>
        <v>0</v>
      </c>
      <c r="Q19" s="683">
        <f>'Sm Comm Cust Fcst'!G45</f>
        <v>3</v>
      </c>
      <c r="R19" s="437"/>
      <c r="S19" s="437"/>
      <c r="T19" s="437"/>
      <c r="U19" s="684">
        <f>SUM(Q19:T19)</f>
        <v>3</v>
      </c>
      <c r="W19" s="56"/>
      <c r="X19" s="56"/>
      <c r="Y19" s="56"/>
      <c r="Z19" s="56"/>
      <c r="AB19" s="543"/>
    </row>
    <row r="20" spans="1:28" ht="13.5" thickBot="1">
      <c r="A20" s="169"/>
      <c r="B20" s="174"/>
      <c r="C20" s="442">
        <f>'Sch TOU-A Cust Cost Summary'!K37</f>
        <v>475.44933340974023</v>
      </c>
      <c r="D20" s="442"/>
      <c r="E20" s="442"/>
      <c r="F20" s="442"/>
      <c r="G20" s="442"/>
      <c r="H20" s="442"/>
      <c r="I20" s="442"/>
      <c r="J20" s="442"/>
      <c r="K20" s="442"/>
      <c r="L20" s="442"/>
      <c r="M20" s="443">
        <f>(C20*Q20+D20*R20+E20*S20+F20*T20)/U20</f>
        <v>475.44933340974023</v>
      </c>
      <c r="P20" s="733">
        <f>M20-'Sm Comm Cust Cost Summary'!K36</f>
        <v>0</v>
      </c>
      <c r="Q20" s="681">
        <f>'Sm Comm Cust Fcst'!G41</f>
        <v>20</v>
      </c>
      <c r="R20" s="437"/>
      <c r="S20" s="437"/>
      <c r="T20" s="437"/>
      <c r="U20" s="682">
        <f>SUM(Q20:T20)</f>
        <v>20</v>
      </c>
      <c r="W20" s="56"/>
      <c r="X20" s="56"/>
      <c r="Y20" s="56"/>
      <c r="Z20" s="56"/>
      <c r="AB20" s="543"/>
    </row>
    <row r="21" spans="1:28" ht="13.5" thickTop="1">
      <c r="D21" s="439"/>
      <c r="E21" s="439"/>
      <c r="F21" s="439"/>
      <c r="G21" s="439"/>
      <c r="H21" s="439"/>
      <c r="I21" s="439"/>
      <c r="J21" s="439"/>
      <c r="K21" s="439"/>
      <c r="L21" s="439"/>
      <c r="M21" s="439"/>
      <c r="P21" s="511"/>
      <c r="Q21" s="681"/>
      <c r="R21" s="437"/>
      <c r="S21" s="437"/>
      <c r="T21" s="437"/>
      <c r="U21" s="682"/>
      <c r="W21" s="56"/>
      <c r="X21" s="56"/>
      <c r="Y21" s="56"/>
      <c r="Z21" s="56"/>
      <c r="AB21" s="543"/>
    </row>
    <row r="22" spans="1:28">
      <c r="A22" s="52" t="s">
        <v>2</v>
      </c>
      <c r="D22" s="439"/>
      <c r="E22" s="439"/>
      <c r="F22" s="439"/>
      <c r="G22" s="439"/>
      <c r="H22" s="439"/>
      <c r="I22" s="439"/>
      <c r="J22" s="439"/>
      <c r="K22" s="439"/>
      <c r="L22" s="439"/>
      <c r="M22" s="439"/>
      <c r="P22" s="511"/>
      <c r="Q22" s="681"/>
      <c r="R22" s="437"/>
      <c r="S22" s="437"/>
      <c r="T22" s="437"/>
      <c r="U22" s="682"/>
      <c r="W22" s="56"/>
      <c r="X22" s="56"/>
      <c r="Y22" s="56"/>
      <c r="Z22" s="56"/>
      <c r="AB22" s="543"/>
    </row>
    <row r="23" spans="1:28">
      <c r="A23" s="392" t="s">
        <v>208</v>
      </c>
      <c r="C23" s="439">
        <f>'Sch TOU-A Cust Cost Summary'!L37</f>
        <v>188.37019682048151</v>
      </c>
      <c r="D23" s="439">
        <f>'Sch A-TC Cust Cost Summary'!L37</f>
        <v>131.27225745071959</v>
      </c>
      <c r="E23" s="439">
        <f>'Sch A-TOU Cust Cost Summary'!L37</f>
        <v>230.97077315582771</v>
      </c>
      <c r="F23" s="439">
        <f>'Sch UM Cust Cost Summary'!L37</f>
        <v>163.28658232722933</v>
      </c>
      <c r="G23" s="439"/>
      <c r="H23" s="439"/>
      <c r="I23" s="439"/>
      <c r="J23" s="439"/>
      <c r="K23" s="439"/>
      <c r="L23" s="439"/>
      <c r="M23" s="439">
        <f>(C23*Q23+D23*R23+E23*S23+F23*T23)/U23</f>
        <v>181.5800708058525</v>
      </c>
      <c r="P23" s="713">
        <f>M23-'Sm Comm Cust Cost Summary'!L36</f>
        <v>0</v>
      </c>
      <c r="Q23" s="681">
        <f t="shared" ref="Q23" si="0">Q16+Q10</f>
        <v>50508</v>
      </c>
      <c r="R23" s="437">
        <f t="shared" ref="R23:U26" si="1">R16+R10</f>
        <v>6815</v>
      </c>
      <c r="S23" s="437">
        <f t="shared" si="1"/>
        <v>3</v>
      </c>
      <c r="T23" s="437">
        <f t="shared" si="1"/>
        <v>14</v>
      </c>
      <c r="U23" s="682">
        <f t="shared" si="1"/>
        <v>57340</v>
      </c>
      <c r="W23" s="56"/>
      <c r="X23" s="56"/>
      <c r="Y23" s="56"/>
      <c r="Z23" s="56"/>
      <c r="AB23" s="543"/>
    </row>
    <row r="24" spans="1:28">
      <c r="A24" s="392" t="s">
        <v>207</v>
      </c>
      <c r="C24" s="439">
        <f>'Sch TOU-A Cust Cost Summary'!M37</f>
        <v>364.99527867954026</v>
      </c>
      <c r="D24" s="439">
        <f>'Sch A-TC Cust Cost Summary'!M37</f>
        <v>217.62170662379413</v>
      </c>
      <c r="E24" s="439">
        <f>'Sch A-TOU Cust Cost Summary'!M37</f>
        <v>432.50678040723483</v>
      </c>
      <c r="F24" s="439">
        <f>'Sch UM Cust Cost Summary'!M37</f>
        <v>196.77529199456683</v>
      </c>
      <c r="G24" s="439"/>
      <c r="H24" s="439"/>
      <c r="I24" s="439"/>
      <c r="J24" s="439"/>
      <c r="K24" s="439"/>
      <c r="L24" s="439"/>
      <c r="M24" s="439">
        <f>(C24*Q24+D24*R24+E24*S24+F24*T24)/U24</f>
        <v>364.59508276745646</v>
      </c>
      <c r="P24" s="713">
        <f>M24-'Sm Comm Cust Cost Summary'!M36</f>
        <v>0</v>
      </c>
      <c r="Q24" s="681">
        <f t="shared" ref="Q24" si="2">Q17+Q11</f>
        <v>64974</v>
      </c>
      <c r="R24" s="437">
        <f t="shared" si="1"/>
        <v>173</v>
      </c>
      <c r="S24" s="437">
        <f t="shared" si="1"/>
        <v>36</v>
      </c>
      <c r="T24" s="437">
        <f t="shared" si="1"/>
        <v>18</v>
      </c>
      <c r="U24" s="682">
        <f t="shared" si="1"/>
        <v>65201</v>
      </c>
      <c r="W24" s="56"/>
      <c r="X24" s="56"/>
      <c r="Y24" s="56"/>
      <c r="Z24" s="56"/>
      <c r="AB24" s="543"/>
    </row>
    <row r="25" spans="1:28">
      <c r="A25" s="392" t="s">
        <v>209</v>
      </c>
      <c r="C25" s="439">
        <f>'Sch TOU-A Cust Cost Summary'!N37</f>
        <v>885.77903291864061</v>
      </c>
      <c r="D25" s="439"/>
      <c r="E25" s="439">
        <f>'Sch A-TOU Cust Cost Summary'!N37</f>
        <v>1131.160219655862</v>
      </c>
      <c r="F25" s="439">
        <f>'Sch UM Cust Cost Summary'!N37</f>
        <v>414.53127443312445</v>
      </c>
      <c r="G25" s="439"/>
      <c r="H25" s="439"/>
      <c r="I25" s="439"/>
      <c r="J25" s="439"/>
      <c r="K25" s="439"/>
      <c r="L25" s="439"/>
      <c r="M25" s="439">
        <f>(C25*Q25+D25*R25+E25*S25+F25*T25)/U25</f>
        <v>888.31304515178977</v>
      </c>
      <c r="P25" s="713">
        <f>M25-'Sm Comm Cust Cost Summary'!N36</f>
        <v>0</v>
      </c>
      <c r="Q25" s="681">
        <f t="shared" ref="Q25" si="3">Q18+Q12</f>
        <v>8504</v>
      </c>
      <c r="R25" s="437">
        <f t="shared" si="1"/>
        <v>0</v>
      </c>
      <c r="S25" s="437">
        <f t="shared" si="1"/>
        <v>118</v>
      </c>
      <c r="T25" s="437">
        <f t="shared" si="1"/>
        <v>15</v>
      </c>
      <c r="U25" s="682">
        <f t="shared" si="1"/>
        <v>8637</v>
      </c>
      <c r="W25" s="56"/>
      <c r="X25" s="56"/>
      <c r="Y25" s="56"/>
      <c r="Z25" s="56"/>
      <c r="AB25" s="543"/>
    </row>
    <row r="26" spans="1:28">
      <c r="A26" s="392" t="s">
        <v>210</v>
      </c>
      <c r="C26" s="439">
        <f>'Sch TOU-A Cust Cost Summary'!O37</f>
        <v>1326.9150988699446</v>
      </c>
      <c r="D26" s="439"/>
      <c r="E26" s="439">
        <f>'Sch A-TOU Cust Cost Summary'!O37</f>
        <v>1653.7587240971727</v>
      </c>
      <c r="F26" s="439">
        <f>'Sch UM Cust Cost Summary'!O37</f>
        <v>2752.5902260817279</v>
      </c>
      <c r="G26" s="439"/>
      <c r="H26" s="439"/>
      <c r="I26" s="439"/>
      <c r="J26" s="439"/>
      <c r="K26" s="439"/>
      <c r="L26" s="439"/>
      <c r="M26" s="439">
        <f>(C26*Q26+D26*R26+E26*S26+F26*T26)/U26</f>
        <v>1336.776500009212</v>
      </c>
      <c r="P26" s="713">
        <f>M26-'Sm Comm Cust Cost Summary'!O36</f>
        <v>0</v>
      </c>
      <c r="Q26" s="683">
        <f t="shared" ref="Q26" si="4">Q19+Q13</f>
        <v>750</v>
      </c>
      <c r="R26" s="438">
        <f t="shared" si="1"/>
        <v>0</v>
      </c>
      <c r="S26" s="438">
        <f t="shared" si="1"/>
        <v>1</v>
      </c>
      <c r="T26" s="438">
        <f t="shared" si="1"/>
        <v>5</v>
      </c>
      <c r="U26" s="684">
        <f t="shared" si="1"/>
        <v>756</v>
      </c>
      <c r="W26" s="56"/>
      <c r="X26" s="56"/>
      <c r="Y26" s="56"/>
      <c r="Z26" s="56"/>
      <c r="AB26" s="543"/>
    </row>
    <row r="27" spans="1:28" ht="13.5" thickBot="1">
      <c r="B27" s="174"/>
      <c r="C27" s="442">
        <f>'Sch TOU-A Cust Cost Summary'!P37</f>
        <v>334.76507470197788</v>
      </c>
      <c r="D27" s="442">
        <f>'Sch A-TC Cust Cost Summary'!P37</f>
        <v>133.40998708823275</v>
      </c>
      <c r="E27" s="442">
        <f>'Sch A-TOU Cust Cost Summary'!P37</f>
        <v>958.18874087099243</v>
      </c>
      <c r="F27" s="442">
        <f>'Sch UM Cust Cost Summary'!P37</f>
        <v>496.32476260363302</v>
      </c>
      <c r="G27" s="442"/>
      <c r="H27" s="442"/>
      <c r="I27" s="442"/>
      <c r="J27" s="442"/>
      <c r="K27" s="442"/>
      <c r="L27" s="442"/>
      <c r="M27" s="443">
        <f>(C27*Q27+D27*R27+E27*S27+F27*T27)/U27</f>
        <v>324.91039501956658</v>
      </c>
      <c r="P27" s="713">
        <f>M27-'Sm Comm Cust Cost Summary'!P36</f>
        <v>0</v>
      </c>
      <c r="Q27" s="685">
        <f>SUM(Q23:Q26)</f>
        <v>124736</v>
      </c>
      <c r="R27" s="582">
        <f>SUM(R23:R26)</f>
        <v>6988</v>
      </c>
      <c r="S27" s="582">
        <f>SUM(S23:S26)</f>
        <v>158</v>
      </c>
      <c r="T27" s="582">
        <f>SUM(T23:T26)</f>
        <v>52</v>
      </c>
      <c r="U27" s="686">
        <f>SUM(U23:U26)</f>
        <v>131934</v>
      </c>
      <c r="W27" s="56"/>
      <c r="X27" s="56"/>
      <c r="Y27" s="56"/>
      <c r="Z27" s="56"/>
      <c r="AB27" s="543"/>
    </row>
    <row r="28" spans="1:28" ht="13.5" thickTop="1">
      <c r="A28" s="83"/>
      <c r="C28" s="439"/>
      <c r="D28" s="439"/>
      <c r="E28" s="439"/>
      <c r="F28" s="439"/>
      <c r="G28" s="439"/>
      <c r="H28" s="439"/>
      <c r="I28" s="439"/>
      <c r="J28" s="439"/>
      <c r="K28" s="439"/>
      <c r="L28" s="439"/>
      <c r="M28" s="444"/>
      <c r="P28" s="405"/>
      <c r="Q28" s="437"/>
      <c r="R28" s="437"/>
      <c r="S28" s="437"/>
      <c r="T28" s="437"/>
      <c r="U28" s="437"/>
      <c r="V28" s="56"/>
      <c r="W28" s="56"/>
      <c r="X28" s="56"/>
      <c r="Y28" s="56"/>
      <c r="Z28" s="56"/>
    </row>
    <row r="29" spans="1:28">
      <c r="C29" s="439"/>
      <c r="D29" s="439"/>
      <c r="E29" s="439"/>
      <c r="F29" s="439"/>
      <c r="G29" s="439"/>
      <c r="H29" s="439"/>
      <c r="I29" s="439"/>
      <c r="J29" s="439"/>
      <c r="K29" s="439"/>
      <c r="L29" s="439"/>
      <c r="M29" s="439"/>
      <c r="P29" s="405"/>
      <c r="Q29" s="56"/>
      <c r="R29" s="56"/>
      <c r="S29" s="56"/>
      <c r="T29" s="56"/>
      <c r="U29" s="56"/>
      <c r="V29" s="56"/>
      <c r="W29" s="56"/>
      <c r="X29" s="56"/>
      <c r="Y29" s="56"/>
      <c r="Z29" s="56"/>
    </row>
    <row r="30" spans="1:28" ht="21" customHeight="1">
      <c r="B30" s="23"/>
      <c r="C30" s="818" t="s">
        <v>220</v>
      </c>
      <c r="D30" s="819"/>
      <c r="E30" s="819"/>
      <c r="F30" s="819"/>
      <c r="G30" s="819"/>
      <c r="H30" s="819"/>
      <c r="I30" s="819"/>
      <c r="J30" s="819"/>
      <c r="K30" s="819"/>
      <c r="L30" s="819"/>
      <c r="M30" s="820"/>
      <c r="N30" s="175"/>
      <c r="O30" s="821" t="s">
        <v>56</v>
      </c>
      <c r="P30" s="405"/>
      <c r="Q30" s="56"/>
      <c r="R30" s="56"/>
      <c r="S30" s="56"/>
      <c r="T30" s="56"/>
      <c r="U30" s="56"/>
      <c r="V30" s="56"/>
      <c r="W30" s="56"/>
      <c r="X30" s="56"/>
      <c r="Y30" s="56"/>
      <c r="Z30" s="56"/>
    </row>
    <row r="31" spans="1:28" ht="39" thickBot="1">
      <c r="B31" s="23"/>
      <c r="C31" s="440" t="s">
        <v>81</v>
      </c>
      <c r="D31" s="440" t="s">
        <v>107</v>
      </c>
      <c r="E31" s="440" t="s">
        <v>55</v>
      </c>
      <c r="F31" s="440" t="s">
        <v>159</v>
      </c>
      <c r="G31" s="440"/>
      <c r="H31" s="440"/>
      <c r="I31" s="440"/>
      <c r="J31" s="440"/>
      <c r="K31" s="440"/>
      <c r="L31" s="440"/>
      <c r="M31" s="624" t="s">
        <v>265</v>
      </c>
      <c r="N31" s="23"/>
      <c r="O31" s="822"/>
      <c r="P31" s="405"/>
      <c r="Q31" s="56"/>
      <c r="R31" s="56"/>
      <c r="S31" s="56"/>
      <c r="T31" s="56"/>
      <c r="U31" s="56"/>
      <c r="V31" s="56"/>
      <c r="W31" s="56"/>
      <c r="X31" s="56"/>
      <c r="Y31" s="56"/>
      <c r="Z31" s="56"/>
    </row>
    <row r="32" spans="1:28">
      <c r="B32" s="23"/>
      <c r="C32" s="476"/>
      <c r="D32" s="476"/>
      <c r="E32" s="476"/>
      <c r="F32" s="476"/>
      <c r="G32" s="476"/>
      <c r="H32" s="476"/>
      <c r="I32" s="476"/>
      <c r="J32" s="476"/>
      <c r="K32" s="476"/>
      <c r="L32" s="476"/>
      <c r="M32" s="477"/>
      <c r="N32" s="23"/>
      <c r="O32" s="474"/>
      <c r="P32" s="405"/>
      <c r="Q32" s="677" t="s">
        <v>81</v>
      </c>
      <c r="R32" s="677" t="s">
        <v>203</v>
      </c>
      <c r="S32" s="677" t="s">
        <v>55</v>
      </c>
      <c r="T32" s="677" t="s">
        <v>159</v>
      </c>
      <c r="U32" s="678" t="s">
        <v>2</v>
      </c>
      <c r="X32" s="56"/>
      <c r="Y32" s="56"/>
      <c r="Z32" s="56"/>
    </row>
    <row r="33" spans="1:28">
      <c r="A33" s="52" t="s">
        <v>0</v>
      </c>
      <c r="C33" s="439"/>
      <c r="D33" s="439"/>
      <c r="E33" s="439"/>
      <c r="F33" s="439"/>
      <c r="G33" s="439"/>
      <c r="H33" s="439"/>
      <c r="I33" s="439"/>
      <c r="J33" s="439"/>
      <c r="K33" s="439"/>
      <c r="L33" s="439"/>
      <c r="M33" s="439"/>
      <c r="P33" s="405"/>
      <c r="Q33" s="437"/>
      <c r="R33" s="437"/>
      <c r="S33" s="437"/>
      <c r="T33" s="437"/>
      <c r="U33" s="682"/>
      <c r="X33" s="56"/>
      <c r="Y33" s="56"/>
      <c r="Z33" s="56"/>
    </row>
    <row r="34" spans="1:28">
      <c r="A34" s="392" t="s">
        <v>202</v>
      </c>
      <c r="C34" s="439">
        <f>'Sch AL-TOU Cust Cost Summary'!B35</f>
        <v>1805.6268802042207</v>
      </c>
      <c r="D34" s="439">
        <f>'Sch DG-R Cust Cost Summary'!B35</f>
        <v>1986.6745754749302</v>
      </c>
      <c r="E34" s="439"/>
      <c r="F34" s="439">
        <f>'Sch OL-TOU Cust Cost Summary'!B35</f>
        <v>1977.097578858002</v>
      </c>
      <c r="G34" s="439"/>
      <c r="H34" s="439"/>
      <c r="I34" s="439"/>
      <c r="J34" s="439"/>
      <c r="K34" s="439"/>
      <c r="L34" s="439"/>
      <c r="M34" s="439">
        <f>(C34*Q34+D34*R34+S34*E34+T34*F34)/U34</f>
        <v>1808.4041977239492</v>
      </c>
      <c r="P34" s="698">
        <f>M34-'M-L C&amp;I Cust Cost Summary '!B35</f>
        <v>0</v>
      </c>
      <c r="Q34" s="437">
        <f>'Sch AL-TOU Cust Fcst'!F39</f>
        <v>16974</v>
      </c>
      <c r="R34" s="437">
        <f>'Sch DG-R Cust Fcst'!F39</f>
        <v>237</v>
      </c>
      <c r="S34" s="437"/>
      <c r="T34" s="437">
        <f>'Sch OL-TOU Cust Fcst'!F39</f>
        <v>29</v>
      </c>
      <c r="U34" s="682">
        <f>SUM(Q34:T34)</f>
        <v>17240</v>
      </c>
      <c r="X34" s="56"/>
      <c r="Y34" s="56"/>
      <c r="Z34" s="56"/>
      <c r="AB34" s="543"/>
    </row>
    <row r="35" spans="1:28">
      <c r="A35" s="392" t="s">
        <v>200</v>
      </c>
      <c r="C35" s="439">
        <f>'Sch AL-TOU Cust Cost Summary'!C35</f>
        <v>4351.8217306869155</v>
      </c>
      <c r="D35" s="439">
        <f>'Sch DG-R Cust Cost Summary'!C35</f>
        <v>4263.0525415800257</v>
      </c>
      <c r="E35" s="439"/>
      <c r="F35" s="439"/>
      <c r="G35" s="439"/>
      <c r="H35" s="439"/>
      <c r="I35" s="439"/>
      <c r="J35" s="439"/>
      <c r="K35" s="439"/>
      <c r="L35" s="439"/>
      <c r="M35" s="439">
        <f>(C35*Q35+D35*R35+S35*E35+T35*F35)/U35</f>
        <v>4350.1676464178436</v>
      </c>
      <c r="P35" s="698">
        <f>M35-'M-L C&amp;I Cust Cost Summary '!C35</f>
        <v>0</v>
      </c>
      <c r="Q35" s="437">
        <f>'Sch AL-TOU Cust Fcst'!F40</f>
        <v>474</v>
      </c>
      <c r="R35" s="437">
        <f>'Sch DG-R Cust Fcst'!F40</f>
        <v>9</v>
      </c>
      <c r="S35" s="437"/>
      <c r="T35" s="437"/>
      <c r="U35" s="682">
        <f>SUM(Q35:T35)</f>
        <v>483</v>
      </c>
      <c r="X35" s="56"/>
      <c r="Y35" s="56"/>
      <c r="Z35" s="56"/>
      <c r="AB35" s="543"/>
    </row>
    <row r="36" spans="1:28">
      <c r="A36" s="392" t="s">
        <v>201</v>
      </c>
      <c r="C36" s="439"/>
      <c r="D36" s="439"/>
      <c r="E36" s="439"/>
      <c r="F36" s="439"/>
      <c r="G36" s="439"/>
      <c r="H36" s="439"/>
      <c r="I36" s="439"/>
      <c r="J36" s="439"/>
      <c r="K36" s="439"/>
      <c r="L36" s="439"/>
      <c r="M36" s="439"/>
      <c r="P36" s="698"/>
      <c r="Q36" s="438"/>
      <c r="R36" s="438"/>
      <c r="S36" s="438"/>
      <c r="T36" s="438"/>
      <c r="U36" s="684"/>
      <c r="X36" s="56"/>
      <c r="Y36" s="56"/>
      <c r="Z36" s="56"/>
      <c r="AB36" s="543"/>
    </row>
    <row r="37" spans="1:28" ht="13.5" thickBot="1">
      <c r="B37" s="174"/>
      <c r="C37" s="442">
        <f>'Sch AL-TOU Cust Cost Summary'!E35</f>
        <v>1874.7979232537853</v>
      </c>
      <c r="D37" s="442">
        <f>'Sch DG-R Cust Cost Summary'!E35</f>
        <v>2069.9566961860924</v>
      </c>
      <c r="E37" s="442"/>
      <c r="F37" s="442">
        <f>'Sch OL-TOU Cust Cost Summary'!E35</f>
        <v>1977.097578858002</v>
      </c>
      <c r="G37" s="442"/>
      <c r="H37" s="442"/>
      <c r="I37" s="442"/>
      <c r="J37" s="442"/>
      <c r="K37" s="442"/>
      <c r="L37" s="442"/>
      <c r="M37" s="443">
        <f>(C37*Q37+D37*R37+S37*E37+T37*F37)/U37</f>
        <v>1877.6741715274336</v>
      </c>
      <c r="N37" s="174"/>
      <c r="O37" s="170">
        <f>SUM(O34:O34)</f>
        <v>0</v>
      </c>
      <c r="P37" s="698">
        <f>M37-'M-L C&amp;I Cust Cost Summary '!E35</f>
        <v>0</v>
      </c>
      <c r="Q37" s="437">
        <f>'Sch AL-TOU Cust Fcst'!F38</f>
        <v>17448</v>
      </c>
      <c r="R37" s="437">
        <f>'Sch DG-R Cust Fcst'!F38</f>
        <v>246</v>
      </c>
      <c r="S37" s="437"/>
      <c r="T37" s="437">
        <f>'Sch OL-TOU Cust Fcst'!F38</f>
        <v>29</v>
      </c>
      <c r="U37" s="682">
        <f>SUM(Q37:T37)</f>
        <v>17723</v>
      </c>
      <c r="X37" s="56"/>
      <c r="Y37" s="56"/>
      <c r="Z37" s="56"/>
      <c r="AB37" s="543"/>
    </row>
    <row r="38" spans="1:28" ht="13.5" thickTop="1">
      <c r="A38" s="52" t="s">
        <v>1</v>
      </c>
      <c r="C38" s="439"/>
      <c r="D38" s="439"/>
      <c r="E38" s="439"/>
      <c r="F38" s="439"/>
      <c r="G38" s="439"/>
      <c r="H38" s="439"/>
      <c r="I38" s="439"/>
      <c r="J38" s="439"/>
      <c r="K38" s="439"/>
      <c r="L38" s="439"/>
      <c r="M38" s="439"/>
      <c r="P38" s="698"/>
      <c r="Q38" s="12"/>
      <c r="R38" s="12"/>
      <c r="S38" s="12"/>
      <c r="T38" s="12"/>
      <c r="U38" s="101"/>
      <c r="X38" s="56"/>
      <c r="Y38" s="56"/>
      <c r="Z38" s="56"/>
      <c r="AB38" s="543"/>
    </row>
    <row r="39" spans="1:28" ht="18" customHeight="1">
      <c r="A39" s="392" t="s">
        <v>202</v>
      </c>
      <c r="C39" s="439">
        <f>'Sch AL-TOU Cust Cost Summary'!F35</f>
        <v>896.19387529355163</v>
      </c>
      <c r="D39" s="439">
        <f>'Sch DG-R Cust Cost Summary'!F35</f>
        <v>891.61229854204817</v>
      </c>
      <c r="E39" s="439"/>
      <c r="F39" s="439"/>
      <c r="G39" s="439"/>
      <c r="H39" s="439"/>
      <c r="I39" s="439"/>
      <c r="J39" s="439"/>
      <c r="K39" s="439"/>
      <c r="L39" s="439"/>
      <c r="M39" s="439">
        <f>(C39*Q39+D39*R39+S39*E39+T39*F39)/U39</f>
        <v>896.13660558415791</v>
      </c>
      <c r="P39" s="698">
        <f>M39-'M-L C&amp;I Cust Cost Summary '!F35</f>
        <v>0</v>
      </c>
      <c r="Q39" s="437">
        <f>'Sch AL-TOU Cust Fcst'!G39</f>
        <v>158</v>
      </c>
      <c r="R39" s="437">
        <f>'Sch DG-R Cust Fcst'!G39</f>
        <v>2</v>
      </c>
      <c r="S39" s="437"/>
      <c r="T39" s="437"/>
      <c r="U39" s="682">
        <f>SUM(Q39:T39)</f>
        <v>160</v>
      </c>
      <c r="X39" s="56"/>
      <c r="Y39" s="56"/>
      <c r="Z39" s="56"/>
      <c r="AB39" s="543"/>
    </row>
    <row r="40" spans="1:28" ht="18" customHeight="1">
      <c r="A40" s="392" t="s">
        <v>200</v>
      </c>
      <c r="C40" s="439">
        <f>'Sch AL-TOU Cust Cost Summary'!G35</f>
        <v>992.20967360355212</v>
      </c>
      <c r="D40" s="439">
        <f>'Sch DG-R Cust Cost Summary'!G35</f>
        <v>891.61229854204817</v>
      </c>
      <c r="E40" s="439">
        <f>'Sch A6-TOU Cust Cost Summary'!C35</f>
        <v>1021.5009574995269</v>
      </c>
      <c r="F40" s="439"/>
      <c r="G40" s="439"/>
      <c r="H40" s="439"/>
      <c r="I40" s="439"/>
      <c r="J40" s="439"/>
      <c r="K40" s="439"/>
      <c r="L40" s="439"/>
      <c r="M40" s="439">
        <f>(C40*Q40+D40*R40+S40*E40+T40*F40)/U40</f>
        <v>992.59880939401114</v>
      </c>
      <c r="P40" s="698">
        <f>M40-'M-L C&amp;I Cust Cost Summary '!G35</f>
        <v>0</v>
      </c>
      <c r="Q40" s="437">
        <f>'Sch AL-TOU Cust Fcst'!G40</f>
        <v>187</v>
      </c>
      <c r="R40" s="437">
        <f>'Sch DG-R Cust Fcst'!G40</f>
        <v>3</v>
      </c>
      <c r="S40" s="437">
        <f>'Sch A6-TOU Cust Fcst '!B40</f>
        <v>13</v>
      </c>
      <c r="T40" s="437"/>
      <c r="U40" s="682">
        <f>SUM(Q40:T40)</f>
        <v>203</v>
      </c>
      <c r="X40" s="56"/>
      <c r="Y40" s="56"/>
      <c r="Z40" s="56"/>
      <c r="AB40" s="543"/>
    </row>
    <row r="41" spans="1:28" ht="18" customHeight="1">
      <c r="A41" s="392" t="s">
        <v>201</v>
      </c>
      <c r="C41" s="439">
        <f>'Sch AL-TOU Cust Cost Summary'!H35</f>
        <v>1270.6967950388771</v>
      </c>
      <c r="D41" s="439"/>
      <c r="E41" s="439"/>
      <c r="F41" s="439"/>
      <c r="G41" s="439"/>
      <c r="H41" s="439"/>
      <c r="I41" s="439"/>
      <c r="J41" s="439"/>
      <c r="K41" s="439"/>
      <c r="L41" s="439"/>
      <c r="M41" s="439">
        <f>(C41*Q41+D41*R41+S41*E41+T41*F41)/U41</f>
        <v>1270.6967950388771</v>
      </c>
      <c r="P41" s="698">
        <f>M41-'M-L C&amp;I Cust Cost Summary '!H35</f>
        <v>0</v>
      </c>
      <c r="Q41" s="438">
        <f>'Sch AL-TOU Cust Fcst'!G41</f>
        <v>3</v>
      </c>
      <c r="R41" s="438"/>
      <c r="S41" s="446"/>
      <c r="T41" s="438"/>
      <c r="U41" s="684">
        <f>SUM(Q41:T41)</f>
        <v>3</v>
      </c>
      <c r="X41" s="56"/>
      <c r="Y41" s="56"/>
      <c r="Z41" s="56"/>
      <c r="AB41" s="543"/>
    </row>
    <row r="42" spans="1:28" ht="18" customHeight="1" thickBot="1">
      <c r="A42" s="169"/>
      <c r="B42" s="174"/>
      <c r="C42" s="442">
        <f>'Sch AL-TOU Cust Cost Summary'!I35</f>
        <v>951.01704495793706</v>
      </c>
      <c r="D42" s="442">
        <f>'Sch DG-R Cust Cost Summary'!I35</f>
        <v>891.61229854204817</v>
      </c>
      <c r="E42" s="442">
        <f>'Sch A6-TOU Cust Cost Summary'!E35</f>
        <v>1021.5009574995269</v>
      </c>
      <c r="F42" s="442"/>
      <c r="G42" s="442"/>
      <c r="H42" s="442"/>
      <c r="I42" s="442"/>
      <c r="J42" s="442"/>
      <c r="K42" s="442"/>
      <c r="L42" s="442"/>
      <c r="M42" s="443">
        <f>(C42*Q42+D42*R42+S42*E42+T42*F42)/U42</f>
        <v>952.70903165455252</v>
      </c>
      <c r="N42" s="174"/>
      <c r="O42" s="170">
        <f>SUM(O39:O39)</f>
        <v>0</v>
      </c>
      <c r="P42" s="698">
        <f>M42-'M-L C&amp;I Cust Cost Summary '!I35</f>
        <v>0</v>
      </c>
      <c r="Q42" s="437">
        <f>'Sch AL-TOU Cust Fcst'!G38</f>
        <v>348</v>
      </c>
      <c r="R42" s="437">
        <f>'Sch DG-R Cust Fcst'!G38</f>
        <v>5</v>
      </c>
      <c r="S42" s="437">
        <f>'Sch A6-TOU Cust Fcst '!B38</f>
        <v>13</v>
      </c>
      <c r="T42" s="437"/>
      <c r="U42" s="682">
        <f>SUM(Q42:T42)</f>
        <v>366</v>
      </c>
      <c r="X42" s="56"/>
      <c r="Y42" s="56"/>
      <c r="Z42" s="56"/>
      <c r="AB42" s="543"/>
    </row>
    <row r="43" spans="1:28" ht="13.5" thickTop="1">
      <c r="C43" s="439"/>
      <c r="D43" s="439"/>
      <c r="E43" s="439"/>
      <c r="F43" s="439"/>
      <c r="G43" s="439"/>
      <c r="H43" s="439"/>
      <c r="I43" s="439"/>
      <c r="J43" s="439"/>
      <c r="K43" s="439"/>
      <c r="L43" s="439"/>
      <c r="M43" s="439"/>
      <c r="P43" s="698"/>
      <c r="Q43" s="437"/>
      <c r="R43" s="437"/>
      <c r="S43" s="437"/>
      <c r="T43" s="437"/>
      <c r="U43" s="682"/>
      <c r="X43" s="56"/>
      <c r="Y43" s="56"/>
      <c r="Z43" s="56"/>
      <c r="AB43" s="543"/>
    </row>
    <row r="44" spans="1:28">
      <c r="A44" s="52" t="s">
        <v>99</v>
      </c>
      <c r="C44" s="439"/>
      <c r="D44" s="439"/>
      <c r="E44" s="439"/>
      <c r="F44" s="439"/>
      <c r="G44" s="439"/>
      <c r="H44" s="439"/>
      <c r="I44" s="439"/>
      <c r="J44" s="439"/>
      <c r="K44" s="439"/>
      <c r="L44" s="439"/>
      <c r="M44" s="439"/>
      <c r="P44" s="698"/>
      <c r="Q44" s="437"/>
      <c r="R44" s="437"/>
      <c r="S44" s="437"/>
      <c r="T44" s="437"/>
      <c r="U44" s="682">
        <f>SUM(Q44:T44)</f>
        <v>0</v>
      </c>
      <c r="X44" s="56"/>
      <c r="Y44" s="56"/>
      <c r="Z44" s="56"/>
      <c r="AB44" s="543"/>
    </row>
    <row r="45" spans="1:28">
      <c r="A45" s="392" t="s">
        <v>202</v>
      </c>
      <c r="C45" s="439">
        <f>'Sch AL-TOU Cust Cost Summary'!J35</f>
        <v>6278.8861602631614</v>
      </c>
      <c r="D45" s="439"/>
      <c r="E45" s="439">
        <f>'Sch A6-TOU Cust Cost Summary'!F35</f>
        <v>0</v>
      </c>
      <c r="F45" s="439"/>
      <c r="G45" s="439"/>
      <c r="H45" s="439"/>
      <c r="I45" s="439"/>
      <c r="J45" s="439"/>
      <c r="K45" s="439"/>
      <c r="L45" s="439"/>
      <c r="M45" s="439">
        <f>(C45*Q45+D45*R45+S45*E45+T45*F45)/U45</f>
        <v>6278.8861602631614</v>
      </c>
      <c r="P45" s="698">
        <f>M45-'M-L C&amp;I Cust Cost Summary '!J35</f>
        <v>0</v>
      </c>
      <c r="Q45" s="437">
        <f>'Sch AL-TOU Cust Fcst'!H39</f>
        <v>7</v>
      </c>
      <c r="R45" s="437"/>
      <c r="S45" s="437">
        <f>'Sch A6-TOU Cust Fcst '!C39</f>
        <v>0</v>
      </c>
      <c r="T45" s="437"/>
      <c r="U45" s="682">
        <f>SUM(Q45:T45)</f>
        <v>7</v>
      </c>
      <c r="X45" s="56"/>
      <c r="Y45" s="56"/>
      <c r="Z45" s="56"/>
      <c r="AB45" s="543"/>
    </row>
    <row r="46" spans="1:28">
      <c r="A46" s="392" t="s">
        <v>200</v>
      </c>
      <c r="C46" s="439">
        <f>'Sch AL-TOU Cust Cost Summary'!K35</f>
        <v>9780.1749309047937</v>
      </c>
      <c r="D46" s="439"/>
      <c r="E46" s="439">
        <f>'Sch A6-TOU Cust Cost Summary'!G35</f>
        <v>8254.352171250981</v>
      </c>
      <c r="F46" s="439"/>
      <c r="G46" s="439"/>
      <c r="H46" s="439"/>
      <c r="I46" s="439"/>
      <c r="J46" s="439"/>
      <c r="K46" s="439"/>
      <c r="L46" s="439"/>
      <c r="M46" s="439">
        <f>(C46*Q46+D46*R46+S46*E46+T46*F46)/U46</f>
        <v>9344.2255710037043</v>
      </c>
      <c r="P46" s="698">
        <f>M46-'M-L C&amp;I Cust Cost Summary '!K35</f>
        <v>0</v>
      </c>
      <c r="Q46" s="437">
        <f>'Sch AL-TOU Cust Fcst'!H40</f>
        <v>10</v>
      </c>
      <c r="R46" s="437"/>
      <c r="S46" s="437">
        <f>'Sch A6-TOU Cust Fcst '!C40</f>
        <v>4</v>
      </c>
      <c r="T46" s="437"/>
      <c r="U46" s="682">
        <f>SUM(Q46:T46)</f>
        <v>14</v>
      </c>
      <c r="X46" s="56"/>
      <c r="Y46" s="56"/>
      <c r="Z46" s="56"/>
      <c r="AB46" s="543"/>
    </row>
    <row r="47" spans="1:28" ht="15">
      <c r="A47" s="392" t="s">
        <v>201</v>
      </c>
      <c r="C47" s="439">
        <f>'Sch AL-TOU Cust Cost Summary'!L35</f>
        <v>13281.463701546425</v>
      </c>
      <c r="D47" s="439"/>
      <c r="E47" s="439">
        <f>'Sch A6-TOU Cust Cost Summary'!H35</f>
        <v>13506.285327213427</v>
      </c>
      <c r="F47" s="439"/>
      <c r="G47" s="439"/>
      <c r="H47" s="439"/>
      <c r="I47" s="439"/>
      <c r="J47" s="439"/>
      <c r="K47" s="439"/>
      <c r="L47" s="439"/>
      <c r="M47" s="441">
        <f>(C47*Q47+D47*R47+S47*E47+T47*F47)/U47</f>
        <v>13450.079920796677</v>
      </c>
      <c r="P47" s="698">
        <f>M47-'M-L C&amp;I Cust Cost Summary '!L35</f>
        <v>0</v>
      </c>
      <c r="Q47" s="438">
        <f>'Sch AL-TOU Cust Fcst'!H41</f>
        <v>1</v>
      </c>
      <c r="R47" s="438"/>
      <c r="S47" s="445">
        <f>'Sch A6-TOU Cust Fcst '!C41</f>
        <v>3</v>
      </c>
      <c r="T47" s="438"/>
      <c r="U47" s="684">
        <f>SUM(Q47:T47)</f>
        <v>4</v>
      </c>
      <c r="X47" s="56"/>
      <c r="Y47" s="56"/>
      <c r="Z47" s="56"/>
      <c r="AB47" s="543"/>
    </row>
    <row r="48" spans="1:28" ht="13.5" thickBot="1">
      <c r="B48" s="174"/>
      <c r="C48" s="442">
        <f>'Sch AL-TOU Cust Cost Summary'!M35</f>
        <v>8613.0786740242511</v>
      </c>
      <c r="D48" s="442"/>
      <c r="E48" s="442">
        <f>'Sch A6-TOU Cust Cost Summary'!I35</f>
        <v>10505.180666663457</v>
      </c>
      <c r="F48" s="442"/>
      <c r="G48" s="442"/>
      <c r="H48" s="442"/>
      <c r="I48" s="442"/>
      <c r="J48" s="442"/>
      <c r="K48" s="442"/>
      <c r="L48" s="442"/>
      <c r="M48" s="443">
        <f>(C48*Q48+D48*R48+S48*E48+T48*F48)/U48</f>
        <v>9142.8672319632278</v>
      </c>
      <c r="N48" s="174"/>
      <c r="O48" s="170">
        <f>SUM(O45:O47)</f>
        <v>0</v>
      </c>
      <c r="P48" s="698">
        <f>M48-'M-L C&amp;I Cust Cost Summary '!M35</f>
        <v>0</v>
      </c>
      <c r="Q48" s="437">
        <f>'Sch AL-TOU Cust Fcst'!H38</f>
        <v>18</v>
      </c>
      <c r="R48" s="437"/>
      <c r="S48" s="437">
        <f>'Sch A6-TOU Cust Fcst '!C38</f>
        <v>7</v>
      </c>
      <c r="T48" s="437"/>
      <c r="U48" s="682">
        <f>SUM(Q48:T48)</f>
        <v>25</v>
      </c>
      <c r="X48" s="56"/>
      <c r="Y48" s="56"/>
      <c r="Z48" s="56"/>
      <c r="AB48" s="543"/>
    </row>
    <row r="49" spans="1:28" ht="13.5" thickTop="1">
      <c r="C49" s="439"/>
      <c r="D49" s="439"/>
      <c r="E49" s="439"/>
      <c r="F49" s="439"/>
      <c r="G49" s="439"/>
      <c r="H49" s="439"/>
      <c r="I49" s="439"/>
      <c r="J49" s="439"/>
      <c r="K49" s="439"/>
      <c r="L49" s="439"/>
      <c r="M49" s="439"/>
      <c r="P49" s="698"/>
      <c r="Q49" s="437"/>
      <c r="R49" s="437"/>
      <c r="S49" s="437"/>
      <c r="T49" s="437"/>
      <c r="U49" s="682"/>
      <c r="X49" s="56"/>
      <c r="Y49" s="56"/>
      <c r="Z49" s="56"/>
      <c r="AB49" s="543"/>
    </row>
    <row r="50" spans="1:28">
      <c r="A50" s="171" t="s">
        <v>2</v>
      </c>
      <c r="C50" s="439"/>
      <c r="D50" s="439"/>
      <c r="E50" s="439"/>
      <c r="F50" s="439"/>
      <c r="G50" s="439"/>
      <c r="H50" s="439"/>
      <c r="I50" s="439"/>
      <c r="J50" s="439"/>
      <c r="K50" s="439"/>
      <c r="L50" s="439"/>
      <c r="M50" s="439"/>
      <c r="P50" s="698"/>
      <c r="Q50" s="437"/>
      <c r="R50" s="437"/>
      <c r="S50" s="437"/>
      <c r="T50" s="437"/>
      <c r="U50" s="682"/>
      <c r="X50" s="56"/>
      <c r="Y50" s="56"/>
      <c r="Z50" s="56"/>
      <c r="AB50" s="543"/>
    </row>
    <row r="51" spans="1:28">
      <c r="A51" s="392" t="s">
        <v>202</v>
      </c>
      <c r="C51" s="439">
        <f>'Sch AL-TOU Cust Cost Summary'!N35</f>
        <v>1798.5583329864724</v>
      </c>
      <c r="D51" s="439">
        <f>'Sch DG-R Cust Cost Summary'!J35</f>
        <v>1976.0679262065701</v>
      </c>
      <c r="E51" s="439">
        <f>'Sch A6-TOU Cust Cost Summary'!J35</f>
        <v>0</v>
      </c>
      <c r="F51" s="439">
        <f>'Sch OL-TOU Cust Cost Summary'!B35</f>
        <v>1977.097578858002</v>
      </c>
      <c r="G51" s="439"/>
      <c r="H51" s="439"/>
      <c r="I51" s="439"/>
      <c r="J51" s="439"/>
      <c r="K51" s="439"/>
      <c r="L51" s="439"/>
      <c r="M51" s="439">
        <f>(C51*Q51+D51*R51+S51*E51+F51*T51)/U51</f>
        <v>1801.2930047225484</v>
      </c>
      <c r="O51" s="56" t="e">
        <f>#REF!+#REF!+#REF!+#REF!+O45</f>
        <v>#REF!</v>
      </c>
      <c r="P51" s="698">
        <f>M51-'M-L C&amp;I Cust Cost Summary '!N35</f>
        <v>0</v>
      </c>
      <c r="Q51" s="437">
        <f>'Sch AL-TOU Cust Fcst'!I39</f>
        <v>17139</v>
      </c>
      <c r="R51" s="437">
        <f>'Sch DG-R Cust Fcst'!H39</f>
        <v>239</v>
      </c>
      <c r="S51" s="437">
        <f>'Sch A6-TOU Cust Fcst '!D39</f>
        <v>0</v>
      </c>
      <c r="T51" s="437">
        <f>'Sch OL-TOU Cust Fcst'!H39</f>
        <v>29</v>
      </c>
      <c r="U51" s="682">
        <f>SUM(Q51:T51)</f>
        <v>17407</v>
      </c>
      <c r="X51" s="56"/>
      <c r="Y51" s="56"/>
      <c r="Z51" s="56"/>
      <c r="AB51" s="543"/>
    </row>
    <row r="52" spans="1:28">
      <c r="A52" s="392" t="s">
        <v>200</v>
      </c>
      <c r="C52" s="439">
        <f>'Sch AL-TOU Cust Cost Summary'!O35</f>
        <v>3510.2907704528152</v>
      </c>
      <c r="D52" s="439">
        <f>'Sch DG-R Cust Cost Summary'!K35</f>
        <v>3448.9311992598987</v>
      </c>
      <c r="E52" s="439">
        <f>'Sch A6-TOU Cust Cost Summary'!K35</f>
        <v>2852.6059081810035</v>
      </c>
      <c r="F52" s="439"/>
      <c r="G52" s="439"/>
      <c r="H52" s="439"/>
      <c r="I52" s="439"/>
      <c r="J52" s="439"/>
      <c r="K52" s="439"/>
      <c r="L52" s="439"/>
      <c r="M52" s="439">
        <f>(C52*Q52+D52*R52+S52*E52+F52*T52)/U52</f>
        <v>3493.2665454343355</v>
      </c>
      <c r="O52" s="56" t="e">
        <f>#REF!+#REF!+#REF!+#REF!+O46</f>
        <v>#REF!</v>
      </c>
      <c r="P52" s="698">
        <f>M52-'M-L C&amp;I Cust Cost Summary '!O35</f>
        <v>0</v>
      </c>
      <c r="Q52" s="437">
        <f>'Sch AL-TOU Cust Fcst'!I40</f>
        <v>671</v>
      </c>
      <c r="R52" s="437">
        <f>'Sch DG-R Cust Fcst'!H40</f>
        <v>12</v>
      </c>
      <c r="S52" s="437">
        <f>'Sch A6-TOU Cust Fcst '!D40</f>
        <v>17</v>
      </c>
      <c r="T52" s="437"/>
      <c r="U52" s="682">
        <f>SUM(Q52:T52)</f>
        <v>700</v>
      </c>
      <c r="X52" s="56"/>
      <c r="Y52" s="56"/>
      <c r="Z52" s="56"/>
      <c r="AB52" s="543"/>
    </row>
    <row r="53" spans="1:28">
      <c r="A53" s="392" t="s">
        <v>201</v>
      </c>
      <c r="C53" s="439">
        <f>'Sch AL-TOU Cust Cost Summary'!P35</f>
        <v>4141.7841702120695</v>
      </c>
      <c r="D53" s="439"/>
      <c r="E53" s="439">
        <f>'Sch A6-TOU Cust Cost Summary'!L35</f>
        <v>12773.825558353663</v>
      </c>
      <c r="F53" s="439"/>
      <c r="G53" s="439"/>
      <c r="H53" s="439"/>
      <c r="I53" s="439"/>
      <c r="J53" s="439"/>
      <c r="K53" s="439"/>
      <c r="L53" s="439"/>
      <c r="M53" s="439">
        <f>(C53*Q53+D53*R53+S53*E53+F53*T53)/U53</f>
        <v>7841.2304794156089</v>
      </c>
      <c r="O53" s="56" t="e">
        <f>O39+O34+#REF!+#REF!+O47</f>
        <v>#REF!</v>
      </c>
      <c r="P53" s="698">
        <f>M53-'M-L C&amp;I Cust Cost Summary '!P35</f>
        <v>0</v>
      </c>
      <c r="Q53" s="438">
        <f>'Sch AL-TOU Cust Fcst'!I41</f>
        <v>4</v>
      </c>
      <c r="R53" s="438"/>
      <c r="S53" s="438">
        <f>'Sch A6-TOU Cust Fcst '!D41</f>
        <v>3</v>
      </c>
      <c r="T53" s="438"/>
      <c r="U53" s="684">
        <f>SUM(Q53:T53)</f>
        <v>7</v>
      </c>
      <c r="X53" s="56"/>
      <c r="Y53" s="56"/>
      <c r="Z53" s="56"/>
      <c r="AB53" s="543"/>
    </row>
    <row r="54" spans="1:28" ht="13.5" thickBot="1">
      <c r="B54" s="174"/>
      <c r="C54" s="442">
        <f>'Sch AL-TOU Cust Cost Summary'!Q35</f>
        <v>1863.5603184411048</v>
      </c>
      <c r="D54" s="442">
        <f>'Sch DG-R Cust Cost Summary'!M35</f>
        <v>2046.4837002170877</v>
      </c>
      <c r="E54" s="442">
        <f>'Sch A6-TOU Cust Cost Summary'!M35</f>
        <v>4340.7888557069045</v>
      </c>
      <c r="F54" s="442">
        <f>'Sch OL-TOU Cust Cost Summary'!E35</f>
        <v>1977.097578858002</v>
      </c>
      <c r="G54" s="442"/>
      <c r="H54" s="442"/>
      <c r="I54" s="442"/>
      <c r="J54" s="442"/>
      <c r="K54" s="442"/>
      <c r="L54" s="442"/>
      <c r="M54" s="443">
        <f>(C54*Q54+D54*R54+S54*E54+F54*T54)/U54</f>
        <v>1869.0119536471984</v>
      </c>
      <c r="N54" s="174"/>
      <c r="O54" s="170" t="e">
        <f>SUM(O51:O53)</f>
        <v>#REF!</v>
      </c>
      <c r="P54" s="698">
        <f>M54-'M-L C&amp;I Cust Cost Summary '!Q35</f>
        <v>0</v>
      </c>
      <c r="Q54" s="582">
        <f>'Sch AL-TOU Cust Fcst'!I38</f>
        <v>17814</v>
      </c>
      <c r="R54" s="582">
        <f>'Sch DG-R Cust Fcst'!H38</f>
        <v>251</v>
      </c>
      <c r="S54" s="582">
        <f>'Sch A6-TOU Cust Fcst '!D38</f>
        <v>20</v>
      </c>
      <c r="T54" s="582">
        <f>'Sch OL-TOU Cust Fcst'!H38</f>
        <v>29</v>
      </c>
      <c r="U54" s="686">
        <f>SUM(Q54:T54)</f>
        <v>18114</v>
      </c>
      <c r="X54" s="56"/>
      <c r="Y54" s="56"/>
      <c r="Z54" s="56"/>
      <c r="AB54" s="543"/>
    </row>
    <row r="55" spans="1:28" ht="13.5" thickTop="1">
      <c r="C55" s="439"/>
      <c r="D55" s="439"/>
      <c r="E55" s="439"/>
      <c r="F55" s="439"/>
      <c r="G55" s="439"/>
      <c r="H55" s="439"/>
      <c r="I55" s="439"/>
      <c r="J55" s="439"/>
      <c r="K55" s="439"/>
      <c r="L55" s="439"/>
      <c r="M55" s="439"/>
      <c r="P55" s="405"/>
      <c r="Q55" s="56"/>
      <c r="R55" s="56"/>
      <c r="S55" s="56"/>
      <c r="T55" s="56"/>
      <c r="U55" s="56"/>
      <c r="V55" s="56"/>
      <c r="W55" s="173"/>
      <c r="X55" s="437"/>
      <c r="Y55" s="56"/>
      <c r="Z55" s="56"/>
    </row>
    <row r="56" spans="1:28">
      <c r="C56" s="439"/>
      <c r="D56" s="439"/>
      <c r="E56" s="439"/>
      <c r="F56" s="439"/>
      <c r="G56" s="439"/>
      <c r="H56" s="439"/>
      <c r="I56" s="439"/>
      <c r="J56" s="439"/>
      <c r="K56" s="439"/>
      <c r="L56" s="439"/>
      <c r="M56" s="439"/>
      <c r="P56" s="405"/>
      <c r="Q56" s="56"/>
      <c r="R56" s="56"/>
      <c r="S56" s="56"/>
      <c r="T56" s="56"/>
      <c r="U56" s="56"/>
      <c r="V56" s="56"/>
      <c r="W56" s="56"/>
      <c r="X56" s="56"/>
      <c r="Y56" s="56"/>
      <c r="Z56" s="56"/>
    </row>
    <row r="57" spans="1:28" ht="13.5" thickBot="1">
      <c r="B57" s="23"/>
      <c r="C57" s="725" t="s">
        <v>86</v>
      </c>
      <c r="D57" s="726"/>
      <c r="E57" s="726"/>
      <c r="F57" s="726"/>
      <c r="G57" s="726"/>
      <c r="H57" s="726"/>
      <c r="I57" s="726"/>
      <c r="J57" s="726"/>
      <c r="K57" s="726"/>
      <c r="L57" s="726"/>
      <c r="M57" s="727"/>
      <c r="P57" s="405"/>
      <c r="Q57" s="56"/>
      <c r="R57" s="56"/>
      <c r="S57" s="56"/>
      <c r="T57" s="56"/>
      <c r="U57" s="56"/>
      <c r="V57" s="56"/>
      <c r="W57" s="56"/>
      <c r="X57" s="56"/>
      <c r="Y57" s="56"/>
      <c r="Z57" s="56"/>
    </row>
    <row r="58" spans="1:28" ht="38.25">
      <c r="B58" s="23"/>
      <c r="C58" s="440" t="s">
        <v>82</v>
      </c>
      <c r="D58" s="440" t="s">
        <v>405</v>
      </c>
      <c r="E58" s="440"/>
      <c r="F58" s="440"/>
      <c r="G58" s="440"/>
      <c r="H58" s="440"/>
      <c r="I58" s="440"/>
      <c r="J58" s="440"/>
      <c r="K58" s="440"/>
      <c r="L58" s="440"/>
      <c r="M58" s="624" t="s">
        <v>265</v>
      </c>
      <c r="P58" s="405"/>
      <c r="Q58" s="676" t="s">
        <v>82</v>
      </c>
      <c r="R58" s="677" t="s">
        <v>405</v>
      </c>
      <c r="S58" s="678" t="s">
        <v>2</v>
      </c>
      <c r="U58" s="56"/>
      <c r="V58" s="56"/>
      <c r="W58" s="56"/>
      <c r="X58" s="56"/>
      <c r="Y58" s="56"/>
      <c r="Z58" s="56"/>
    </row>
    <row r="59" spans="1:28">
      <c r="B59" s="23"/>
      <c r="C59" s="476"/>
      <c r="D59" s="476"/>
      <c r="E59" s="476"/>
      <c r="F59" s="476"/>
      <c r="G59" s="476"/>
      <c r="H59" s="476"/>
      <c r="I59" s="476"/>
      <c r="J59" s="476"/>
      <c r="K59" s="476"/>
      <c r="L59" s="476"/>
      <c r="M59" s="477"/>
      <c r="P59" s="405"/>
      <c r="Q59" s="679"/>
      <c r="R59" s="12"/>
      <c r="S59" s="680"/>
      <c r="U59" s="56"/>
      <c r="V59" s="56"/>
      <c r="W59" s="56"/>
      <c r="X59" s="56"/>
      <c r="Y59" s="56"/>
      <c r="Z59" s="56"/>
    </row>
    <row r="60" spans="1:28">
      <c r="A60" s="52" t="s">
        <v>0</v>
      </c>
      <c r="C60" s="439"/>
      <c r="D60" s="439"/>
      <c r="E60" s="439"/>
      <c r="F60" s="439"/>
      <c r="G60" s="439"/>
      <c r="H60" s="439"/>
      <c r="I60" s="439"/>
      <c r="J60" s="439"/>
      <c r="K60" s="439"/>
      <c r="L60" s="439"/>
      <c r="M60" s="439"/>
      <c r="P60" s="405"/>
      <c r="Q60" s="681"/>
      <c r="R60" s="12"/>
      <c r="S60" s="682"/>
      <c r="U60" s="56"/>
      <c r="V60" s="56"/>
      <c r="W60" s="56"/>
      <c r="X60" s="56"/>
      <c r="Y60" s="56"/>
      <c r="Z60" s="56"/>
    </row>
    <row r="61" spans="1:28">
      <c r="A61" s="392" t="s">
        <v>204</v>
      </c>
      <c r="C61" s="439">
        <f>'Sch PA-T-1 Cust Cost Summary'!B35</f>
        <v>537.73763795351078</v>
      </c>
      <c r="D61" s="439">
        <f>'Sch TOU-PA Cust Cost Summary'!B35</f>
        <v>367.80866639951319</v>
      </c>
      <c r="E61" s="439"/>
      <c r="F61" s="439"/>
      <c r="G61" s="439"/>
      <c r="H61" s="439"/>
      <c r="I61" s="439"/>
      <c r="J61" s="439"/>
      <c r="K61" s="439"/>
      <c r="L61" s="439"/>
      <c r="M61" s="439">
        <f>(C61*Q61+D61*R61)/S61</f>
        <v>372.62134006939914</v>
      </c>
      <c r="P61" s="511">
        <f>M61-'Agric Cust Cost Summary'!B35</f>
        <v>0</v>
      </c>
      <c r="Q61" s="681">
        <f>'Sch PA-T-1 Cust Fcst'!F39</f>
        <v>81</v>
      </c>
      <c r="R61" s="693">
        <f>'Sch TOU-PA Cust Fcst'!F39</f>
        <v>2779</v>
      </c>
      <c r="S61" s="682">
        <f>SUM(Q61:R61)</f>
        <v>2860</v>
      </c>
      <c r="U61" s="56"/>
      <c r="V61" s="699"/>
      <c r="W61" s="56"/>
      <c r="X61" s="56"/>
      <c r="Y61" s="56"/>
      <c r="Z61" s="56"/>
      <c r="AB61" s="543"/>
    </row>
    <row r="62" spans="1:28" ht="15">
      <c r="A62" s="392" t="s">
        <v>205</v>
      </c>
      <c r="C62" s="439">
        <f>'Sch PA-T-1 Cust Cost Summary'!C35</f>
        <v>1590.3904456278999</v>
      </c>
      <c r="D62" s="439">
        <f>'Sch TOU-PA Cust Cost Summary'!C35</f>
        <v>1091.2798306347238</v>
      </c>
      <c r="E62" s="439"/>
      <c r="F62" s="439"/>
      <c r="G62" s="439"/>
      <c r="H62" s="439"/>
      <c r="I62" s="439"/>
      <c r="J62" s="439"/>
      <c r="K62" s="439"/>
      <c r="L62" s="439"/>
      <c r="M62" s="439">
        <f>(C62*Q62+D62*R62)/S62</f>
        <v>1271.0520799239325</v>
      </c>
      <c r="P62" s="511">
        <f>M62-'Agric Cust Cost Summary'!C35</f>
        <v>0</v>
      </c>
      <c r="Q62" s="683">
        <f>'Sch PA-T-1 Cust Fcst'!F40</f>
        <v>389</v>
      </c>
      <c r="R62" s="694">
        <f>'Sch TOU-PA Cust Fcst'!F40</f>
        <v>691</v>
      </c>
      <c r="S62" s="692">
        <f>SUM(Q62:R62)</f>
        <v>1080</v>
      </c>
      <c r="U62" s="56"/>
      <c r="V62" s="56"/>
      <c r="W62" s="56"/>
      <c r="X62" s="56"/>
      <c r="Y62" s="56"/>
      <c r="Z62" s="56"/>
      <c r="AB62" s="543"/>
    </row>
    <row r="63" spans="1:28" ht="13.5" thickBot="1">
      <c r="B63" s="174"/>
      <c r="C63" s="442">
        <f>'Sch PA-T-1 Cust Cost Summary'!D35</f>
        <v>1408.9758128159312</v>
      </c>
      <c r="D63" s="442">
        <f>'Sch TOU-PA Cust Cost Summary'!D35</f>
        <v>511.87741985384469</v>
      </c>
      <c r="E63" s="442"/>
      <c r="F63" s="442"/>
      <c r="G63" s="442"/>
      <c r="H63" s="442"/>
      <c r="I63" s="442"/>
      <c r="J63" s="442"/>
      <c r="K63" s="442"/>
      <c r="L63" s="442"/>
      <c r="M63" s="443">
        <f>(C63*Q63+D63*R63)/S63</f>
        <v>618.89169515642857</v>
      </c>
      <c r="P63" s="511">
        <f>M63-'Agric Cust Cost Summary'!D35</f>
        <v>0</v>
      </c>
      <c r="Q63" s="681">
        <f>'Sch PA-T-1 Cust Fcst'!F38</f>
        <v>470</v>
      </c>
      <c r="R63" s="693">
        <f>'Sch TOU-PA Cust Fcst'!F38</f>
        <v>3470</v>
      </c>
      <c r="S63" s="700">
        <f>SUM(Q63:R63)</f>
        <v>3940</v>
      </c>
      <c r="U63" s="56"/>
      <c r="V63" s="56"/>
      <c r="W63" s="56"/>
      <c r="X63" s="56"/>
      <c r="Y63" s="56"/>
      <c r="Z63" s="56"/>
      <c r="AB63" s="543"/>
    </row>
    <row r="64" spans="1:28" ht="13.5" thickTop="1">
      <c r="A64" s="52" t="s">
        <v>1</v>
      </c>
      <c r="C64" s="439"/>
      <c r="D64" s="439"/>
      <c r="E64" s="439"/>
      <c r="F64" s="439"/>
      <c r="G64" s="439"/>
      <c r="H64" s="439"/>
      <c r="I64" s="439"/>
      <c r="J64" s="439"/>
      <c r="K64" s="439"/>
      <c r="L64" s="439"/>
      <c r="M64" s="439"/>
      <c r="P64" s="511"/>
      <c r="Q64" s="681"/>
      <c r="R64" s="12"/>
      <c r="S64" s="682"/>
      <c r="U64" s="56"/>
      <c r="V64" s="56"/>
      <c r="W64" s="56"/>
      <c r="X64" s="56"/>
      <c r="Y64" s="56"/>
      <c r="Z64" s="56"/>
      <c r="AB64" s="543"/>
    </row>
    <row r="65" spans="1:28">
      <c r="A65" s="392" t="s">
        <v>204</v>
      </c>
      <c r="C65" s="439">
        <f>'Sch PA-T-1 Cust Cost Summary'!E35</f>
        <v>567.15558101721456</v>
      </c>
      <c r="D65" s="439"/>
      <c r="E65" s="439"/>
      <c r="F65" s="439"/>
      <c r="G65" s="439"/>
      <c r="H65" s="439"/>
      <c r="I65" s="439"/>
      <c r="J65" s="439"/>
      <c r="K65" s="439"/>
      <c r="L65" s="439"/>
      <c r="M65" s="439">
        <f>(C65*Q65+D65*R65)/S65</f>
        <v>567.15558101721456</v>
      </c>
      <c r="P65" s="511">
        <f>M65-'Agric Cust Cost Summary'!E35</f>
        <v>0</v>
      </c>
      <c r="Q65" s="681">
        <f>'Sch PA-T-1 Cust Fcst'!G39</f>
        <v>1</v>
      </c>
      <c r="R65" s="693">
        <f>'Sch TOU-PA Cust Fcst'!G39</f>
        <v>0</v>
      </c>
      <c r="S65" s="682">
        <f>SUM(Q65:R65)</f>
        <v>1</v>
      </c>
      <c r="U65" s="56"/>
      <c r="V65" s="56"/>
      <c r="W65" s="56"/>
      <c r="X65" s="56"/>
      <c r="Y65" s="56"/>
      <c r="Z65" s="56"/>
      <c r="AB65" s="543"/>
    </row>
    <row r="66" spans="1:28" ht="15">
      <c r="A66" s="392" t="s">
        <v>205</v>
      </c>
      <c r="C66" s="439">
        <f>'Sch PA-T-1 Cust Cost Summary'!F35</f>
        <v>654.01216176995649</v>
      </c>
      <c r="D66" s="439">
        <f>'Sch TOU-PA Cust Cost Summary'!F35</f>
        <v>654.54241303496963</v>
      </c>
      <c r="E66" s="439"/>
      <c r="F66" s="439"/>
      <c r="G66" s="439"/>
      <c r="H66" s="439"/>
      <c r="I66" s="439"/>
      <c r="J66" s="439"/>
      <c r="K66" s="439"/>
      <c r="L66" s="439"/>
      <c r="M66" s="439">
        <f>(C66*Q66+D66*R66)/S66</f>
        <v>654.11821202295914</v>
      </c>
      <c r="P66" s="511">
        <f>M66-'Agric Cust Cost Summary'!F35</f>
        <v>0</v>
      </c>
      <c r="Q66" s="683">
        <f>'Sch PA-T-1 Cust Fcst'!G40</f>
        <v>20</v>
      </c>
      <c r="R66" s="694">
        <f>'Sch TOU-PA Cust Fcst'!G40</f>
        <v>5</v>
      </c>
      <c r="S66" s="692">
        <f>SUM(Q66:R66)</f>
        <v>25</v>
      </c>
      <c r="U66" s="56"/>
      <c r="V66" s="56"/>
      <c r="W66" s="56"/>
      <c r="X66" s="56"/>
      <c r="Y66" s="56"/>
      <c r="Z66" s="56"/>
      <c r="AB66" s="543"/>
    </row>
    <row r="67" spans="1:28" ht="13.5" thickBot="1">
      <c r="A67" s="169"/>
      <c r="B67" s="174"/>
      <c r="C67" s="442">
        <f>'Sch PA-T-1 Cust Cost Summary'!G35</f>
        <v>649.87613411506402</v>
      </c>
      <c r="D67" s="443">
        <f>'Sch TOU-PA Cust Cost Summary'!G35</f>
        <v>654.54241303496963</v>
      </c>
      <c r="E67" s="442"/>
      <c r="F67" s="442"/>
      <c r="G67" s="442"/>
      <c r="H67" s="442"/>
      <c r="I67" s="442"/>
      <c r="J67" s="442"/>
      <c r="K67" s="442"/>
      <c r="L67" s="442"/>
      <c r="M67" s="443">
        <f>(C67*Q67+D67*R67)/S67</f>
        <v>650.77349544581512</v>
      </c>
      <c r="P67" s="511">
        <f>M67-'Agric Cust Cost Summary'!G35</f>
        <v>0</v>
      </c>
      <c r="Q67" s="681">
        <f>'Sch PA-T-1 Cust Fcst'!G38</f>
        <v>21</v>
      </c>
      <c r="R67" s="693">
        <f>'Sch TOU-PA Cust Fcst'!G38</f>
        <v>5</v>
      </c>
      <c r="S67" s="700">
        <f>SUM(Q67:R67)</f>
        <v>26</v>
      </c>
      <c r="U67" s="56"/>
      <c r="V67" s="56"/>
      <c r="W67" s="56"/>
      <c r="X67" s="56"/>
      <c r="Y67" s="56"/>
      <c r="Z67" s="56"/>
      <c r="AB67" s="543"/>
    </row>
    <row r="68" spans="1:28" ht="13.5" thickTop="1">
      <c r="C68" s="439"/>
      <c r="D68" s="439"/>
      <c r="E68" s="439"/>
      <c r="F68" s="439"/>
      <c r="G68" s="439"/>
      <c r="H68" s="439"/>
      <c r="I68" s="439"/>
      <c r="J68" s="439"/>
      <c r="K68" s="439"/>
      <c r="L68" s="439"/>
      <c r="M68" s="439"/>
      <c r="P68" s="511"/>
      <c r="Q68" s="681"/>
      <c r="R68" s="12"/>
      <c r="S68" s="682"/>
      <c r="U68" s="56"/>
      <c r="V68" s="56"/>
      <c r="W68" s="56"/>
      <c r="X68" s="56"/>
      <c r="Y68" s="56"/>
      <c r="Z68" s="56"/>
    </row>
    <row r="69" spans="1:28">
      <c r="A69" s="171" t="s">
        <v>2</v>
      </c>
      <c r="C69" s="439"/>
      <c r="D69" s="439"/>
      <c r="E69" s="439"/>
      <c r="F69" s="439"/>
      <c r="G69" s="439"/>
      <c r="H69" s="439"/>
      <c r="I69" s="439"/>
      <c r="J69" s="439"/>
      <c r="K69" s="439"/>
      <c r="L69" s="439"/>
      <c r="M69" s="439"/>
      <c r="P69" s="511"/>
      <c r="Q69" s="681"/>
      <c r="R69" s="12"/>
      <c r="S69" s="682"/>
      <c r="U69" s="56"/>
      <c r="V69" s="56"/>
      <c r="W69" s="56"/>
      <c r="X69" s="56"/>
      <c r="Y69" s="56"/>
      <c r="Z69" s="56"/>
    </row>
    <row r="70" spans="1:28">
      <c r="A70" s="392" t="s">
        <v>204</v>
      </c>
      <c r="C70" s="439">
        <f>'Sch PA-T-1 Cust Cost Summary'!H35</f>
        <v>535.67275971574566</v>
      </c>
      <c r="D70" s="439">
        <f>'Sch TOU-PA Cust Cost Summary'!H35</f>
        <v>367.83318190330294</v>
      </c>
      <c r="E70" s="439"/>
      <c r="F70" s="439"/>
      <c r="G70" s="439"/>
      <c r="H70" s="439"/>
      <c r="I70" s="439"/>
      <c r="J70" s="439"/>
      <c r="K70" s="439"/>
      <c r="L70" s="439"/>
      <c r="M70" s="439">
        <f>(C70*Q70+D70*R70)/S70</f>
        <v>372.64368360921708</v>
      </c>
      <c r="P70" s="511">
        <f>M70-'Agric Cust Cost Summary'!H35</f>
        <v>0</v>
      </c>
      <c r="Q70" s="681">
        <f>'Sch PA-T-1 Cust Fcst'!H39</f>
        <v>82</v>
      </c>
      <c r="R70" s="693">
        <f>'Sch TOU-PA Cust Fcst'!H39</f>
        <v>2779</v>
      </c>
      <c r="S70" s="682">
        <f>SUM(Q70:R70)</f>
        <v>2861</v>
      </c>
      <c r="U70" s="56"/>
      <c r="V70" s="56"/>
      <c r="W70" s="56"/>
      <c r="X70" s="56"/>
      <c r="Y70" s="56"/>
      <c r="Z70" s="56"/>
      <c r="AB70" s="543"/>
    </row>
    <row r="71" spans="1:28" ht="15">
      <c r="A71" s="392" t="s">
        <v>205</v>
      </c>
      <c r="C71" s="439">
        <f>'Sch PA-T-1 Cust Cost Summary'!I35</f>
        <v>1545.0876883697133</v>
      </c>
      <c r="D71" s="439">
        <f>'Sch TOU-PA Cust Cost Summary'!I35</f>
        <v>1088.0444632884155</v>
      </c>
      <c r="E71" s="439"/>
      <c r="F71" s="439"/>
      <c r="G71" s="439"/>
      <c r="H71" s="439"/>
      <c r="I71" s="439"/>
      <c r="J71" s="439"/>
      <c r="K71" s="439"/>
      <c r="L71" s="439"/>
      <c r="M71" s="439">
        <f>(C71*Q71+D71*R71)/S71</f>
        <v>1257.2124986352487</v>
      </c>
      <c r="P71" s="511">
        <f>M71-'Agric Cust Cost Summary'!I35</f>
        <v>0</v>
      </c>
      <c r="Q71" s="683">
        <f>'Sch PA-T-1 Cust Fcst'!H40</f>
        <v>409</v>
      </c>
      <c r="R71" s="694">
        <f>'Sch TOU-PA Cust Fcst'!H40</f>
        <v>696</v>
      </c>
      <c r="S71" s="692">
        <f>SUM(Q71:R71)</f>
        <v>1105</v>
      </c>
      <c r="U71" s="56"/>
      <c r="V71" s="56"/>
      <c r="W71" s="56"/>
      <c r="X71" s="56"/>
      <c r="Y71" s="56"/>
      <c r="Z71" s="56"/>
    </row>
    <row r="72" spans="1:28" ht="13.5" thickBot="1">
      <c r="B72" s="174"/>
      <c r="C72" s="442">
        <f>'Sch PA-T-1 Cust Cost Summary'!J35</f>
        <v>1376.5092277798451</v>
      </c>
      <c r="D72" s="442">
        <f>'Sch TOU-PA Cust Cost Summary'!J35</f>
        <v>512.0826932253284</v>
      </c>
      <c r="E72" s="442"/>
      <c r="F72" s="442"/>
      <c r="G72" s="442"/>
      <c r="H72" s="442"/>
      <c r="I72" s="442"/>
      <c r="J72" s="442"/>
      <c r="K72" s="442"/>
      <c r="L72" s="442"/>
      <c r="M72" s="443">
        <f>(C72*Q72+D72*R72)/S72</f>
        <v>619.10070342862343</v>
      </c>
      <c r="P72" s="511">
        <f>M72-'Agric Cust Cost Summary'!J35</f>
        <v>0</v>
      </c>
      <c r="Q72" s="685">
        <f>'Sch PA-T-1 Cust Fcst'!H38</f>
        <v>491</v>
      </c>
      <c r="R72" s="695">
        <f>'Sch TOU-PA Cust Fcst'!H38</f>
        <v>3475</v>
      </c>
      <c r="S72" s="701">
        <f>SUM(Q72:R72)</f>
        <v>3966</v>
      </c>
      <c r="U72" s="56"/>
      <c r="V72" s="56"/>
      <c r="W72" s="56"/>
      <c r="X72" s="56"/>
      <c r="Y72" s="56"/>
      <c r="Z72" s="56"/>
    </row>
    <row r="73" spans="1:28" ht="13.5" thickTop="1">
      <c r="C73" s="439"/>
      <c r="D73" s="439"/>
      <c r="E73" s="439"/>
      <c r="F73" s="439"/>
      <c r="G73" s="439"/>
      <c r="H73" s="439"/>
      <c r="I73" s="439"/>
      <c r="J73" s="439"/>
      <c r="K73" s="439"/>
      <c r="L73" s="439"/>
      <c r="M73" s="439"/>
      <c r="Q73" s="56"/>
      <c r="R73" s="56"/>
      <c r="S73" s="56"/>
      <c r="T73" s="56"/>
      <c r="U73" s="56"/>
      <c r="V73" s="56"/>
      <c r="W73" s="56"/>
      <c r="X73" s="56"/>
      <c r="Y73" s="56"/>
      <c r="Z73" s="56"/>
    </row>
    <row r="74" spans="1:28">
      <c r="C74" s="439"/>
      <c r="D74" s="439"/>
      <c r="E74" s="439"/>
      <c r="F74" s="439"/>
      <c r="G74" s="439"/>
      <c r="H74" s="439"/>
      <c r="I74" s="439"/>
      <c r="J74" s="439"/>
      <c r="K74" s="439"/>
      <c r="L74" s="439"/>
      <c r="M74" s="439"/>
      <c r="Q74" s="56"/>
      <c r="R74" s="56"/>
      <c r="S74" s="56"/>
      <c r="T74" s="56"/>
      <c r="U74" s="56"/>
      <c r="V74" s="56"/>
      <c r="W74" s="56"/>
      <c r="X74" s="56"/>
      <c r="Y74" s="56"/>
      <c r="Z74" s="56"/>
    </row>
    <row r="75" spans="1:28">
      <c r="C75" s="818" t="s">
        <v>62</v>
      </c>
      <c r="D75" s="819"/>
      <c r="E75" s="819"/>
      <c r="F75" s="819"/>
      <c r="G75" s="819"/>
      <c r="H75" s="819"/>
      <c r="I75" s="819"/>
      <c r="J75" s="819"/>
      <c r="K75" s="819"/>
      <c r="L75" s="819"/>
      <c r="M75" s="820"/>
      <c r="Q75" s="56"/>
      <c r="R75" s="56"/>
      <c r="S75" s="56"/>
      <c r="T75" s="56"/>
      <c r="U75" s="56"/>
      <c r="V75" s="56"/>
      <c r="W75" s="56"/>
      <c r="X75" s="56"/>
      <c r="Y75" s="56"/>
      <c r="Z75" s="56"/>
    </row>
    <row r="76" spans="1:28" ht="38.25">
      <c r="C76" s="440" t="s">
        <v>62</v>
      </c>
      <c r="D76" s="440"/>
      <c r="E76" s="440"/>
      <c r="F76" s="440"/>
      <c r="G76" s="440"/>
      <c r="H76" s="440"/>
      <c r="I76" s="440"/>
      <c r="J76" s="440"/>
      <c r="K76" s="440"/>
      <c r="L76" s="440"/>
      <c r="M76" s="624" t="s">
        <v>265</v>
      </c>
      <c r="Q76" s="475"/>
      <c r="R76" s="475"/>
      <c r="S76" s="475"/>
      <c r="T76" s="56"/>
      <c r="U76" s="56"/>
      <c r="V76" s="56"/>
      <c r="W76" s="56"/>
      <c r="X76" s="56"/>
      <c r="Y76" s="56"/>
      <c r="Z76" s="56"/>
    </row>
    <row r="77" spans="1:28">
      <c r="C77" s="439"/>
      <c r="D77" s="439"/>
      <c r="E77" s="439"/>
      <c r="F77" s="439"/>
      <c r="G77" s="439"/>
      <c r="H77" s="439"/>
      <c r="I77" s="439"/>
      <c r="J77" s="439"/>
      <c r="K77" s="439"/>
      <c r="L77" s="439"/>
      <c r="M77" s="439"/>
      <c r="Q77" s="437"/>
      <c r="R77" s="437"/>
      <c r="S77" s="437"/>
      <c r="T77" s="56"/>
      <c r="U77" s="56"/>
      <c r="V77" s="56"/>
      <c r="W77" s="56"/>
      <c r="X77" s="56"/>
      <c r="Y77" s="56"/>
      <c r="Z77" s="56"/>
    </row>
    <row r="78" spans="1:28">
      <c r="A78" s="52" t="s">
        <v>2</v>
      </c>
      <c r="C78" s="439">
        <f>'Street Light Cust Cost Summary'!B40</f>
        <v>7.637807714693178</v>
      </c>
      <c r="D78" s="439"/>
      <c r="E78" s="439"/>
      <c r="F78" s="439"/>
      <c r="G78" s="439"/>
      <c r="H78" s="439"/>
      <c r="I78" s="439"/>
      <c r="J78" s="439"/>
      <c r="K78" s="439"/>
      <c r="L78" s="439"/>
      <c r="M78" s="439">
        <f>C78</f>
        <v>7.637807714693178</v>
      </c>
      <c r="P78" s="511">
        <f>M78-'Street Light Cust Cost Summary'!B40</f>
        <v>0</v>
      </c>
      <c r="Q78" s="437"/>
      <c r="R78" s="437"/>
      <c r="S78" s="437"/>
      <c r="T78" s="56"/>
      <c r="U78" s="56"/>
      <c r="V78" s="56"/>
      <c r="W78" s="56"/>
      <c r="X78" s="56"/>
      <c r="Y78" s="56"/>
      <c r="Z78" s="56"/>
    </row>
  </sheetData>
  <mergeCells count="5">
    <mergeCell ref="C75:M75"/>
    <mergeCell ref="O30:O31"/>
    <mergeCell ref="C30:M30"/>
    <mergeCell ref="C1:M1"/>
    <mergeCell ref="C6:M6"/>
  </mergeCells>
  <printOptions horizontalCentered="1"/>
  <pageMargins left="0.75" right="0.75" top="1" bottom="1" header="0.5" footer="0.5"/>
  <pageSetup scale="56" orientation="portrait" r:id="rId1"/>
  <headerFooter alignWithMargins="0">
    <oddFooter>&amp;L&amp;F
&amp;A&amp;R&amp;P of &amp;N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Sheet29">
    <tabColor rgb="FF00642D"/>
    <pageSetUpPr fitToPage="1"/>
  </sheetPr>
  <dimension ref="A1:W65"/>
  <sheetViews>
    <sheetView zoomScaleNormal="100" workbookViewId="0">
      <pane xSplit="1" ySplit="5" topLeftCell="B6" activePane="bottomRight" state="frozen"/>
      <selection activeCell="D15" sqref="D15"/>
      <selection pane="topRight" activeCell="D15" sqref="D15"/>
      <selection pane="bottomLeft" activeCell="D15" sqref="D15"/>
      <selection pane="bottomRight" activeCell="D17" sqref="D17"/>
    </sheetView>
  </sheetViews>
  <sheetFormatPr defaultRowHeight="12.75"/>
  <cols>
    <col min="1" max="1" width="31.28515625" bestFit="1" customWidth="1"/>
    <col min="2" max="2" width="12.85546875" customWidth="1"/>
    <col min="3" max="3" width="11.5703125" customWidth="1"/>
    <col min="4" max="4" width="11.28515625" bestFit="1" customWidth="1"/>
    <col min="5" max="5" width="10.7109375" customWidth="1"/>
    <col min="6" max="6" width="12.85546875" customWidth="1"/>
    <col min="7" max="8" width="8.7109375" bestFit="1" customWidth="1"/>
    <col min="9" max="9" width="10.28515625" bestFit="1" customWidth="1"/>
    <col min="10" max="10" width="12.85546875" bestFit="1" customWidth="1"/>
    <col min="11" max="13" width="10.28515625" customWidth="1"/>
    <col min="14" max="14" width="12.85546875" bestFit="1" customWidth="1"/>
    <col min="15" max="16" width="11.28515625" bestFit="1" customWidth="1"/>
    <col min="17" max="17" width="10.28515625" customWidth="1"/>
    <col min="18" max="18" width="12.85546875" bestFit="1" customWidth="1"/>
    <col min="19" max="19" width="9.140625" bestFit="1" customWidth="1"/>
    <col min="20" max="20" width="10.28515625" bestFit="1" customWidth="1"/>
    <col min="21" max="21" width="10.140625" bestFit="1" customWidth="1"/>
  </cols>
  <sheetData>
    <row r="1" spans="1:21" ht="18.75" thickBot="1">
      <c r="A1" s="841" t="s">
        <v>142</v>
      </c>
      <c r="B1" s="841"/>
      <c r="C1" s="841"/>
      <c r="D1" s="841"/>
      <c r="E1" s="841"/>
      <c r="F1" s="841"/>
      <c r="G1" s="841"/>
      <c r="H1" s="841"/>
      <c r="I1" s="841"/>
      <c r="J1" s="841"/>
      <c r="K1" s="841"/>
      <c r="L1" s="841"/>
      <c r="M1" s="841"/>
      <c r="N1" s="841"/>
      <c r="O1" s="841"/>
      <c r="P1" s="841"/>
      <c r="Q1" s="841"/>
    </row>
    <row r="2" spans="1:21" ht="13.5" thickBot="1">
      <c r="A2" s="131"/>
      <c r="B2" s="834" t="s">
        <v>132</v>
      </c>
      <c r="C2" s="835"/>
      <c r="D2" s="835"/>
      <c r="E2" s="835"/>
      <c r="F2" s="835"/>
      <c r="G2" s="835"/>
      <c r="H2" s="835"/>
      <c r="I2" s="835"/>
      <c r="J2" s="835"/>
      <c r="K2" s="835"/>
      <c r="L2" s="835"/>
      <c r="M2" s="835"/>
      <c r="N2" s="835"/>
      <c r="O2" s="835"/>
      <c r="P2" s="835"/>
      <c r="Q2" s="835"/>
      <c r="R2" s="835"/>
      <c r="S2" s="835"/>
      <c r="T2" s="835"/>
      <c r="U2" s="837"/>
    </row>
    <row r="3" spans="1:21">
      <c r="A3" s="196"/>
      <c r="B3" s="842" t="s">
        <v>127</v>
      </c>
      <c r="C3" s="843"/>
      <c r="D3" s="843"/>
      <c r="E3" s="844"/>
      <c r="F3" s="842" t="s">
        <v>114</v>
      </c>
      <c r="G3" s="843"/>
      <c r="H3" s="843"/>
      <c r="I3" s="844"/>
      <c r="J3" s="842" t="s">
        <v>115</v>
      </c>
      <c r="K3" s="843"/>
      <c r="L3" s="843"/>
      <c r="M3" s="844"/>
      <c r="N3" s="842" t="s">
        <v>113</v>
      </c>
      <c r="O3" s="843"/>
      <c r="P3" s="843"/>
      <c r="Q3" s="843"/>
      <c r="R3" s="836" t="s">
        <v>143</v>
      </c>
      <c r="S3" s="843"/>
      <c r="T3" s="843"/>
      <c r="U3" s="844"/>
    </row>
    <row r="4" spans="1:21" ht="13.5" thickBot="1">
      <c r="A4" s="102" t="s">
        <v>4</v>
      </c>
      <c r="B4" s="311" t="s">
        <v>36</v>
      </c>
      <c r="C4" s="312" t="s">
        <v>37</v>
      </c>
      <c r="D4" s="312" t="s">
        <v>38</v>
      </c>
      <c r="E4" s="313" t="s">
        <v>41</v>
      </c>
      <c r="F4" s="311" t="s">
        <v>36</v>
      </c>
      <c r="G4" s="312" t="s">
        <v>37</v>
      </c>
      <c r="H4" s="312" t="s">
        <v>38</v>
      </c>
      <c r="I4" s="313" t="s">
        <v>41</v>
      </c>
      <c r="J4" s="311" t="s">
        <v>36</v>
      </c>
      <c r="K4" s="312" t="s">
        <v>37</v>
      </c>
      <c r="L4" s="312" t="s">
        <v>38</v>
      </c>
      <c r="M4" s="313" t="s">
        <v>41</v>
      </c>
      <c r="N4" s="311" t="s">
        <v>36</v>
      </c>
      <c r="O4" s="312" t="s">
        <v>37</v>
      </c>
      <c r="P4" s="312" t="s">
        <v>40</v>
      </c>
      <c r="Q4" s="312" t="s">
        <v>41</v>
      </c>
      <c r="R4" s="311" t="s">
        <v>36</v>
      </c>
      <c r="S4" s="312" t="s">
        <v>37</v>
      </c>
      <c r="T4" s="312" t="s">
        <v>38</v>
      </c>
      <c r="U4" s="313" t="s">
        <v>41</v>
      </c>
    </row>
    <row r="5" spans="1:21">
      <c r="A5" s="133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5" t="s">
        <v>42</v>
      </c>
      <c r="K5" s="6" t="s">
        <v>42</v>
      </c>
      <c r="L5" s="6" t="s">
        <v>42</v>
      </c>
      <c r="M5" s="7" t="s">
        <v>43</v>
      </c>
      <c r="N5" s="6"/>
      <c r="O5" s="6"/>
      <c r="P5" s="6"/>
      <c r="Q5" s="6"/>
      <c r="R5" s="11"/>
      <c r="S5" s="12"/>
      <c r="T5" s="12"/>
      <c r="U5" s="101"/>
    </row>
    <row r="6" spans="1:21">
      <c r="A6" s="112"/>
      <c r="B6" s="132"/>
      <c r="C6" s="8"/>
      <c r="D6" s="8"/>
      <c r="E6" s="9"/>
      <c r="F6" s="132"/>
      <c r="G6" s="8"/>
      <c r="H6" s="8"/>
      <c r="I6" s="9"/>
      <c r="J6" s="132"/>
      <c r="K6" s="8"/>
      <c r="L6" s="8"/>
      <c r="M6" s="9"/>
      <c r="N6" s="8"/>
      <c r="O6" s="8"/>
      <c r="P6" s="8"/>
      <c r="Q6" s="8"/>
      <c r="R6" s="11"/>
      <c r="S6" s="12"/>
      <c r="T6" s="12"/>
      <c r="U6" s="101"/>
    </row>
    <row r="7" spans="1:21">
      <c r="A7" s="153" t="s">
        <v>5</v>
      </c>
      <c r="B7" s="137">
        <f>'Sm Comm Cust Fcst'!$P8*'Non-Residential TSM UC Adj'!B7</f>
        <v>582.06097113107194</v>
      </c>
      <c r="C7" s="23">
        <f>'Sm Comm Cust Fcst'!$P8*'Non-Residential TSM UC Adj'!C7</f>
        <v>224.3342439053207</v>
      </c>
      <c r="D7" s="23">
        <f>'Sm Comm Cust Fcst'!$P8*'Non-Residential TSM UC Adj'!D7</f>
        <v>468.59946312075175</v>
      </c>
      <c r="E7" s="45">
        <f>IF(SUM(B7:D7)=0,0,SUM(B7:D7)/'Sm Comm Cust Fcst'!P8)</f>
        <v>637.49733907857217</v>
      </c>
      <c r="F7" s="137">
        <f>'Sm Comm Cust Fcst'!$Q8*'Non-Residential TSM UC Adj'!F7</f>
        <v>0</v>
      </c>
      <c r="G7" s="23">
        <f>'Sm Comm Cust Fcst'!$Q8*'Non-Residential TSM UC Adj'!G7</f>
        <v>0</v>
      </c>
      <c r="H7" s="23">
        <f>'Sm Comm Cust Fcst'!$Q8*'Non-Residential TSM UC Adj'!H7</f>
        <v>0</v>
      </c>
      <c r="I7" s="45">
        <f>IF(SUM(F7:H7)=0,0,SUM(F7:H7)/'Sm Comm Cust Fcst'!Q8)</f>
        <v>0</v>
      </c>
      <c r="J7" s="137">
        <f>'Sm Comm Cust Fcst'!$R8*'Non-Residential TSM UC Adj'!J7</f>
        <v>0</v>
      </c>
      <c r="K7" s="23">
        <f>'Sm Comm Cust Fcst'!$R8*'Non-Residential TSM UC Adj'!K7</f>
        <v>0</v>
      </c>
      <c r="L7" s="23">
        <f>'Sm Comm Cust Fcst'!$R8*'Non-Residential TSM UC Adj'!L7</f>
        <v>0</v>
      </c>
      <c r="M7" s="45">
        <f>IF(SUM(J7:L7)=0,0,SUM(J7:L7)/'Sm Comm Cust Fcst'!R8)</f>
        <v>0</v>
      </c>
      <c r="N7" s="137">
        <f>'Sm Comm Cust Fcst'!$S8*'Non-Residential TSM UC Adj'!N7</f>
        <v>0</v>
      </c>
      <c r="O7" s="23">
        <f>'Sm Comm Cust Fcst'!$S8*'Non-Residential TSM UC Adj'!O7</f>
        <v>0</v>
      </c>
      <c r="P7" s="23">
        <f>'Sm Comm Cust Fcst'!$S8*'Non-Residential TSM UC Adj'!P7</f>
        <v>0</v>
      </c>
      <c r="Q7" s="23">
        <f>IF(SUM(N7:P7)=0,0,SUM(N7:P7)/'Sm Comm Cust Fcst'!S8)</f>
        <v>0</v>
      </c>
      <c r="R7" s="137">
        <f>B7+F7+J7+N7</f>
        <v>582.06097113107194</v>
      </c>
      <c r="S7" s="23">
        <f t="shared" ref="S7:T23" si="0">C7+G7+K7+O7</f>
        <v>224.3342439053207</v>
      </c>
      <c r="T7" s="23">
        <f t="shared" si="0"/>
        <v>468.59946312075175</v>
      </c>
      <c r="U7" s="45">
        <f>IF(SUM(R7:T7)=0,0,SUM(R7:T7)/'Sm Comm Cust Fcst'!T8)</f>
        <v>637.49733907857217</v>
      </c>
    </row>
    <row r="8" spans="1:21">
      <c r="A8" s="155" t="s">
        <v>251</v>
      </c>
      <c r="B8" s="137">
        <f>'Sm Comm Cust Fcst'!$P9*'Non-Residential TSM UC Adj'!B8</f>
        <v>873.09145669660791</v>
      </c>
      <c r="C8" s="23">
        <f>'Sm Comm Cust Fcst'!$P9*'Non-Residential TSM UC Adj'!C8</f>
        <v>112.16712195266035</v>
      </c>
      <c r="D8" s="23">
        <f>'Sm Comm Cust Fcst'!$P9*'Non-Residential TSM UC Adj'!D8</f>
        <v>234.29973156037588</v>
      </c>
      <c r="E8" s="45">
        <f>IF(SUM(B8:D8)=0,0,SUM(B8:D8)/'Sm Comm Cust Fcst'!P9)</f>
        <v>1219.5583102096441</v>
      </c>
      <c r="F8" s="137">
        <f>'Sm Comm Cust Fcst'!$Q9*'Non-Residential TSM UC Adj'!F8</f>
        <v>0</v>
      </c>
      <c r="G8" s="23">
        <f>'Sm Comm Cust Fcst'!$Q9*'Non-Residential TSM UC Adj'!G8</f>
        <v>0</v>
      </c>
      <c r="H8" s="23">
        <f>'Sm Comm Cust Fcst'!$Q9*'Non-Residential TSM UC Adj'!H8</f>
        <v>0</v>
      </c>
      <c r="I8" s="45">
        <f>IF(SUM(F8:H8)=0,0,SUM(F8:H8)/'Sm Comm Cust Fcst'!Q9)</f>
        <v>0</v>
      </c>
      <c r="J8" s="137">
        <f>'Sm Comm Cust Fcst'!$R9*'Non-Residential TSM UC Adj'!J8</f>
        <v>0</v>
      </c>
      <c r="K8" s="23">
        <f>'Sm Comm Cust Fcst'!$R9*'Non-Residential TSM UC Adj'!K8</f>
        <v>0</v>
      </c>
      <c r="L8" s="23">
        <f>'Sm Comm Cust Fcst'!$R9*'Non-Residential TSM UC Adj'!L8</f>
        <v>0</v>
      </c>
      <c r="M8" s="45">
        <f>IF(SUM(J8:L8)=0,0,SUM(J8:L8)/'Sm Comm Cust Fcst'!R9)</f>
        <v>0</v>
      </c>
      <c r="N8" s="137">
        <f>'Sm Comm Cust Fcst'!$S9*'Non-Residential TSM UC Adj'!N8</f>
        <v>0</v>
      </c>
      <c r="O8" s="23">
        <f>'Sm Comm Cust Fcst'!$S9*'Non-Residential TSM UC Adj'!O8</f>
        <v>0</v>
      </c>
      <c r="P8" s="23">
        <f>'Sm Comm Cust Fcst'!$S9*'Non-Residential TSM UC Adj'!P8</f>
        <v>0</v>
      </c>
      <c r="Q8" s="45">
        <f>IF(SUM(N8:P8)=0,0,SUM(N8:P8)/'Sm Comm Cust Fcst'!S9)</f>
        <v>0</v>
      </c>
      <c r="R8" s="137">
        <f>B8+F8+J8+N8</f>
        <v>873.09145669660791</v>
      </c>
      <c r="S8" s="23">
        <f>C8+G8+K8+O8</f>
        <v>112.16712195266035</v>
      </c>
      <c r="T8" s="23">
        <f>D8+H8+L8+P8</f>
        <v>234.29973156037588</v>
      </c>
      <c r="U8" s="45">
        <f>IF(SUM(R8:T8)=0,0,SUM(R8:T8)/'Sm Comm Cust Fcst'!T9)</f>
        <v>1219.5583102096441</v>
      </c>
    </row>
    <row r="9" spans="1:21">
      <c r="A9" s="154" t="s">
        <v>252</v>
      </c>
      <c r="B9" s="137">
        <f>'Sm Comm Cust Fcst'!$P10*'Non-Residential TSM UC Adj'!B8</f>
        <v>873.09145669660791</v>
      </c>
      <c r="C9" s="23">
        <f>'Sm Comm Cust Fcst'!$P10*'Non-Residential TSM UC Adj'!C8</f>
        <v>112.16712195266035</v>
      </c>
      <c r="D9" s="23">
        <f>'Sm Comm Cust Fcst'!$P10*'Non-Residential TSM UC Adj'!D8</f>
        <v>234.29973156037588</v>
      </c>
      <c r="E9" s="45">
        <f>IF(SUM(B9:D9)=0,0,SUM(B9:D9)/'Sm Comm Cust Fcst'!P10)</f>
        <v>1219.5583102096441</v>
      </c>
      <c r="F9" s="137">
        <f>'Sm Comm Cust Fcst'!$Q10*'Non-Residential TSM UC Adj'!F8</f>
        <v>2016.8186560564311</v>
      </c>
      <c r="G9" s="23">
        <f>'Sm Comm Cust Fcst'!$Q10*'Non-Residential TSM UC Adj'!G8</f>
        <v>1219.6406502013074</v>
      </c>
      <c r="H9" s="23">
        <f>'Sm Comm Cust Fcst'!$Q10*'Non-Residential TSM UC Adj'!H8</f>
        <v>603.52699792028352</v>
      </c>
      <c r="I9" s="45">
        <f>IF(SUM(F9:H9)=0,0,SUM(F9:H9)/'Sm Comm Cust Fcst'!Q10)</f>
        <v>1919.9931520890111</v>
      </c>
      <c r="J9" s="137">
        <f>'Sm Comm Cust Fcst'!$R10*'Non-Residential TSM UC Adj'!J8</f>
        <v>2120.6135542240022</v>
      </c>
      <c r="K9" s="23">
        <f>'Sm Comm Cust Fcst'!$R10*'Non-Residential TSM UC Adj'!K8</f>
        <v>1219.6406502013074</v>
      </c>
      <c r="L9" s="23">
        <f>'Sm Comm Cust Fcst'!$R10*'Non-Residential TSM UC Adj'!L8</f>
        <v>603.52699792028352</v>
      </c>
      <c r="M9" s="45">
        <f>IF(SUM(J9:L9)=0,0,SUM(J9:L9)/'Sm Comm Cust Fcst'!R10)</f>
        <v>1971.8906011727966</v>
      </c>
      <c r="N9" s="137">
        <f>'Sm Comm Cust Fcst'!$S10*'Non-Residential TSM UC Adj'!N8</f>
        <v>0</v>
      </c>
      <c r="O9" s="23">
        <f>'Sm Comm Cust Fcst'!$S10*'Non-Residential TSM UC Adj'!O8</f>
        <v>0</v>
      </c>
      <c r="P9" s="23">
        <f>'Sm Comm Cust Fcst'!$S10*'Non-Residential TSM UC Adj'!P8</f>
        <v>0</v>
      </c>
      <c r="Q9" s="23">
        <f>IF(SUM(N9:P9)=0,0,SUM(N9:P9)/'Sm Comm Cust Fcst'!S10)</f>
        <v>0</v>
      </c>
      <c r="R9" s="137">
        <f t="shared" ref="R9:T38" si="1">B9+F9+J9+N9</f>
        <v>5010.5236669770411</v>
      </c>
      <c r="S9" s="23">
        <f t="shared" si="0"/>
        <v>2551.4484223552754</v>
      </c>
      <c r="T9" s="23">
        <f t="shared" si="0"/>
        <v>1441.3537274009429</v>
      </c>
      <c r="U9" s="45">
        <f>IF(SUM(R9:T9)=0,0,SUM(R9:T9)/'Sm Comm Cust Fcst'!T10)</f>
        <v>1800.6651633466518</v>
      </c>
    </row>
    <row r="10" spans="1:21">
      <c r="A10" s="155" t="s">
        <v>7</v>
      </c>
      <c r="B10" s="137">
        <f>'Sm Comm Cust Fcst'!$P11*'Non-Residential TSM UC Adj'!B9</f>
        <v>2619.2743700898236</v>
      </c>
      <c r="C10" s="23">
        <f>'Sm Comm Cust Fcst'!$P11*'Non-Residential TSM UC Adj'!C9</f>
        <v>474.31393131435937</v>
      </c>
      <c r="D10" s="23">
        <f>'Sm Comm Cust Fcst'!$P11*'Non-Residential TSM UC Adj'!D9</f>
        <v>702.8991946811276</v>
      </c>
      <c r="E10" s="45">
        <f>IF(SUM(B10:D10)=0,0,SUM(B10:D10)/'Sm Comm Cust Fcst'!P11)</f>
        <v>1265.4958320284368</v>
      </c>
      <c r="F10" s="137">
        <f>'Sm Comm Cust Fcst'!$Q11*'Non-Residential TSM UC Adj'!F9</f>
        <v>0</v>
      </c>
      <c r="G10" s="23">
        <f>'Sm Comm Cust Fcst'!$Q11*'Non-Residential TSM UC Adj'!G9</f>
        <v>0</v>
      </c>
      <c r="H10" s="23">
        <f>'Sm Comm Cust Fcst'!$Q11*'Non-Residential TSM UC Adj'!H9</f>
        <v>0</v>
      </c>
      <c r="I10" s="45">
        <f>IF(SUM(F10:H10)=0,0,SUM(F10:H10)/'Sm Comm Cust Fcst'!Q11)</f>
        <v>0</v>
      </c>
      <c r="J10" s="137">
        <f>'Sm Comm Cust Fcst'!$R11*'Non-Residential TSM UC Adj'!J9</f>
        <v>6361.8406626720061</v>
      </c>
      <c r="K10" s="23">
        <f>'Sm Comm Cust Fcst'!$R11*'Non-Residential TSM UC Adj'!K9</f>
        <v>2154.8757573435973</v>
      </c>
      <c r="L10" s="23">
        <f>'Sm Comm Cust Fcst'!$R11*'Non-Residential TSM UC Adj'!L9</f>
        <v>905.29049688042528</v>
      </c>
      <c r="M10" s="45">
        <f>IF(SUM(J10:L10)=0,0,SUM(J10:L10)/'Sm Comm Cust Fcst'!R11)</f>
        <v>3140.6689722986762</v>
      </c>
      <c r="N10" s="137">
        <f>'Sm Comm Cust Fcst'!$S11*'Non-Residential TSM UC Adj'!N9</f>
        <v>0</v>
      </c>
      <c r="O10" s="23">
        <f>'Sm Comm Cust Fcst'!$S11*'Non-Residential TSM UC Adj'!O9</f>
        <v>0</v>
      </c>
      <c r="P10" s="23">
        <f>'Sm Comm Cust Fcst'!$S11*'Non-Residential TSM UC Adj'!P9</f>
        <v>0</v>
      </c>
      <c r="Q10" s="23">
        <f>IF(SUM(N10:P10)=0,0,SUM(N10:P10)/'Sm Comm Cust Fcst'!S11)</f>
        <v>0</v>
      </c>
      <c r="R10" s="137">
        <f t="shared" si="1"/>
        <v>8981.1150327618307</v>
      </c>
      <c r="S10" s="23">
        <f t="shared" si="0"/>
        <v>2629.1896886579566</v>
      </c>
      <c r="T10" s="23">
        <f t="shared" si="0"/>
        <v>1608.189691561553</v>
      </c>
      <c r="U10" s="45">
        <f>IF(SUM(R10:T10)=0,0,SUM(R10:T10)/'Sm Comm Cust Fcst'!T11)</f>
        <v>2203.0824021635567</v>
      </c>
    </row>
    <row r="11" spans="1:21">
      <c r="A11" s="155" t="s">
        <v>124</v>
      </c>
      <c r="B11" s="137">
        <f>'Sm Comm Cust Fcst'!$P12*'Non-Residential TSM UC Adj'!B10</f>
        <v>39289.115551347357</v>
      </c>
      <c r="C11" s="23">
        <f>'Sm Comm Cust Fcst'!$P12*'Non-Residential TSM UC Adj'!C10</f>
        <v>3110.9282240098059</v>
      </c>
      <c r="D11" s="23">
        <f>'Sm Comm Cust Fcst'!$P12*'Non-Residential TSM UC Adj'!D10</f>
        <v>4217.3951680867658</v>
      </c>
      <c r="E11" s="45">
        <f>IF(SUM(B11:D11)=0,0,SUM(B11:D11)/'Sm Comm Cust Fcst'!P12)</f>
        <v>2589.8577190802184</v>
      </c>
      <c r="F11" s="137">
        <f>'Sm Comm Cust Fcst'!$Q12*'Non-Residential TSM UC Adj'!F10</f>
        <v>4705.9101974650057</v>
      </c>
      <c r="G11" s="23">
        <f>'Sm Comm Cust Fcst'!$Q12*'Non-Residential TSM UC Adj'!G10</f>
        <v>718.29191911453245</v>
      </c>
      <c r="H11" s="23">
        <f>'Sm Comm Cust Fcst'!$Q12*'Non-Residential TSM UC Adj'!H10</f>
        <v>301.76349896014176</v>
      </c>
      <c r="I11" s="45">
        <f>IF(SUM(F11:H11)=0,0,SUM(F11:H11)/'Sm Comm Cust Fcst'!Q12)</f>
        <v>5725.9656155396797</v>
      </c>
      <c r="J11" s="137">
        <f>'Sm Comm Cust Fcst'!$R12*'Non-Residential TSM UC Adj'!J10</f>
        <v>29688.589759136034</v>
      </c>
      <c r="K11" s="23">
        <f>'Sm Comm Cust Fcst'!$R12*'Non-Residential TSM UC Adj'!K10</f>
        <v>4309.7515146871947</v>
      </c>
      <c r="L11" s="23">
        <f>'Sm Comm Cust Fcst'!$R12*'Non-Residential TSM UC Adj'!L10</f>
        <v>1810.5809937608506</v>
      </c>
      <c r="M11" s="45">
        <f>IF(SUM(J11:L11)=0,0,SUM(J11:L11)/'Sm Comm Cust Fcst'!R12)</f>
        <v>5968.1537112640135</v>
      </c>
      <c r="N11" s="137">
        <f>'Sm Comm Cust Fcst'!$S12*'Non-Residential TSM UC Adj'!N10</f>
        <v>0</v>
      </c>
      <c r="O11" s="23">
        <f>'Sm Comm Cust Fcst'!$S12*'Non-Residential TSM UC Adj'!O10</f>
        <v>0</v>
      </c>
      <c r="P11" s="23">
        <f>'Sm Comm Cust Fcst'!$S12*'Non-Residential TSM UC Adj'!P10</f>
        <v>0</v>
      </c>
      <c r="Q11" s="23">
        <f>IF(SUM(N11:P11)=0,0,SUM(N11:P11)/'Sm Comm Cust Fcst'!S12)</f>
        <v>0</v>
      </c>
      <c r="R11" s="137">
        <f t="shared" si="1"/>
        <v>73683.615507948387</v>
      </c>
      <c r="S11" s="23">
        <f t="shared" si="0"/>
        <v>8138.9716578115331</v>
      </c>
      <c r="T11" s="23">
        <f t="shared" si="0"/>
        <v>6329.7396608077579</v>
      </c>
      <c r="U11" s="45">
        <f>IF(SUM(R11:T11)=0,0,SUM(R11:T11)/'Sm Comm Cust Fcst'!T12)</f>
        <v>3526.0930730627069</v>
      </c>
    </row>
    <row r="12" spans="1:21">
      <c r="A12" s="155" t="s">
        <v>116</v>
      </c>
      <c r="B12" s="137">
        <f>'Sm Comm Cust Fcst'!$P13*'Non-Residential TSM UC Adj'!B11</f>
        <v>28375.472342639758</v>
      </c>
      <c r="C12" s="23">
        <f>'Sm Comm Cust Fcst'!$P13*'Non-Residential TSM UC Adj'!C11</f>
        <v>2246.7814951181931</v>
      </c>
      <c r="D12" s="23">
        <f>'Sm Comm Cust Fcst'!$P13*'Non-Residential TSM UC Adj'!D11</f>
        <v>3045.8965102848865</v>
      </c>
      <c r="E12" s="45">
        <f>IF(SUM(B12:D12)=0,0,SUM(B12:D12)/'Sm Comm Cust Fcst'!P13)</f>
        <v>2589.857719080218</v>
      </c>
      <c r="F12" s="137">
        <f>'Sm Comm Cust Fcst'!$Q13*'Non-Residential TSM UC Adj'!F11</f>
        <v>9411.8203949300114</v>
      </c>
      <c r="G12" s="23">
        <f>'Sm Comm Cust Fcst'!$Q13*'Non-Residential TSM UC Adj'!G11</f>
        <v>1436.5838382290649</v>
      </c>
      <c r="H12" s="23">
        <f>'Sm Comm Cust Fcst'!$Q13*'Non-Residential TSM UC Adj'!H11</f>
        <v>603.52699792028352</v>
      </c>
      <c r="I12" s="45">
        <f>IF(SUM(F12:H12)=0,0,SUM(F12:H12)/'Sm Comm Cust Fcst'!Q13)</f>
        <v>5725.9656155396797</v>
      </c>
      <c r="J12" s="137">
        <f>'Sm Comm Cust Fcst'!$R13*'Non-Residential TSM UC Adj'!J11</f>
        <v>39584.786345514709</v>
      </c>
      <c r="K12" s="23">
        <f>'Sm Comm Cust Fcst'!$R13*'Non-Residential TSM UC Adj'!K11</f>
        <v>5746.3353529162596</v>
      </c>
      <c r="L12" s="23">
        <f>'Sm Comm Cust Fcst'!$R13*'Non-Residential TSM UC Adj'!L11</f>
        <v>2414.1079916811341</v>
      </c>
      <c r="M12" s="45">
        <f>IF(SUM(J12:L12)=0,0,SUM(J12:L12)/'Sm Comm Cust Fcst'!R13)</f>
        <v>5968.1537112640135</v>
      </c>
      <c r="N12" s="137">
        <f>'Sm Comm Cust Fcst'!$S13*'Non-Residential TSM UC Adj'!N11</f>
        <v>23347.179396575415</v>
      </c>
      <c r="O12" s="23">
        <f>'Sm Comm Cust Fcst'!$S13*'Non-Residential TSM UC Adj'!O11</f>
        <v>2873.1676764581298</v>
      </c>
      <c r="P12" s="23">
        <f>'Sm Comm Cust Fcst'!$S13*'Non-Residential TSM UC Adj'!P11</f>
        <v>1207.053995840567</v>
      </c>
      <c r="Q12" s="23">
        <f>IF(SUM(N12:P12)=0,0,SUM(N12:P12)/'Sm Comm Cust Fcst'!S13)</f>
        <v>6856.8502672185286</v>
      </c>
      <c r="R12" s="137">
        <f t="shared" si="1"/>
        <v>100719.2584796599</v>
      </c>
      <c r="S12" s="23">
        <f t="shared" si="0"/>
        <v>12302.868362721647</v>
      </c>
      <c r="T12" s="23">
        <f t="shared" si="0"/>
        <v>7270.5854957268712</v>
      </c>
      <c r="U12" s="45">
        <f>IF(SUM(R12:T12)=0,0,SUM(R12:T12)/'Sm Comm Cust Fcst'!T13)</f>
        <v>4455.2856421521637</v>
      </c>
    </row>
    <row r="13" spans="1:21">
      <c r="A13" s="155" t="s">
        <v>8</v>
      </c>
      <c r="B13" s="137">
        <f>'Sm Comm Cust Fcst'!$P14*'Non-Residential TSM UC Adj'!B12</f>
        <v>103182.059039876</v>
      </c>
      <c r="C13" s="23">
        <f>'Sm Comm Cust Fcst'!$P14*'Non-Residential TSM UC Adj'!C12</f>
        <v>9166.6944796691423</v>
      </c>
      <c r="D13" s="23">
        <f>'Sm Comm Cust Fcst'!$P14*'Non-Residential TSM UC Adj'!D12</f>
        <v>5154.5940943282694</v>
      </c>
      <c r="E13" s="45">
        <f>IF(SUM(B13:D13)=0,0,SUM(B13:D13)/'Sm Comm Cust Fcst'!P14)</f>
        <v>5341.0612551760632</v>
      </c>
      <c r="F13" s="137">
        <f>'Sm Comm Cust Fcst'!$Q14*'Non-Residential TSM UC Adj'!F12</f>
        <v>84706.383554370099</v>
      </c>
      <c r="G13" s="23">
        <f>'Sm Comm Cust Fcst'!$Q14*'Non-Residential TSM UC Adj'!G12</f>
        <v>5611.4106428537398</v>
      </c>
      <c r="H13" s="23">
        <f>'Sm Comm Cust Fcst'!$Q14*'Non-Residential TSM UC Adj'!H12</f>
        <v>1810.5809937608506</v>
      </c>
      <c r="I13" s="45">
        <f>IF(SUM(F13:H13)=0,0,SUM(F13:H13)/'Sm Comm Cust Fcst'!Q14)</f>
        <v>15354.729198497449</v>
      </c>
      <c r="J13" s="137">
        <f>'Sm Comm Cust Fcst'!$R14*'Non-Residential TSM UC Adj'!J12</f>
        <v>816436.21837624081</v>
      </c>
      <c r="K13" s="23">
        <f>'Sm Comm Cust Fcst'!$R14*'Non-Residential TSM UC Adj'!K12</f>
        <v>51437.930892825949</v>
      </c>
      <c r="L13" s="23">
        <f>'Sm Comm Cust Fcst'!$R14*'Non-Residential TSM UC Adj'!L12</f>
        <v>16596.992442807797</v>
      </c>
      <c r="M13" s="45">
        <f>IF(SUM(J13:L13)=0,0,SUM(J13:L13)/'Sm Comm Cust Fcst'!R14)</f>
        <v>16081.293485670445</v>
      </c>
      <c r="N13" s="137">
        <f>'Sm Comm Cust Fcst'!$S14*'Non-Residential TSM UC Adj'!N12</f>
        <v>46694.35879315083</v>
      </c>
      <c r="O13" s="23">
        <f>'Sm Comm Cust Fcst'!$S14*'Non-Residential TSM UC Adj'!O12</f>
        <v>7481.8808571383197</v>
      </c>
      <c r="P13" s="23">
        <f>'Sm Comm Cust Fcst'!$S14*'Non-Residential TSM UC Adj'!P12</f>
        <v>2414.1079916811341</v>
      </c>
      <c r="Q13" s="23">
        <f>IF(SUM(N13:P13)=0,0,SUM(N13:P13)/'Sm Comm Cust Fcst'!S14)</f>
        <v>7073.7934552462857</v>
      </c>
      <c r="R13" s="137">
        <f t="shared" si="1"/>
        <v>1051019.0197636378</v>
      </c>
      <c r="S13" s="23">
        <f t="shared" si="0"/>
        <v>73697.916872487142</v>
      </c>
      <c r="T13" s="23">
        <f t="shared" si="0"/>
        <v>25976.275522578049</v>
      </c>
      <c r="U13" s="45">
        <f>IF(SUM(R13:T13)=0,0,SUM(R13:T13)/'Sm Comm Cust Fcst'!T14)</f>
        <v>12644.98035339234</v>
      </c>
    </row>
    <row r="14" spans="1:21">
      <c r="A14" s="155" t="s">
        <v>9</v>
      </c>
      <c r="B14" s="137">
        <f>'Sm Comm Cust Fcst'!$P15*'Non-Residential TSM UC Adj'!B13</f>
        <v>0</v>
      </c>
      <c r="C14" s="23">
        <f>'Sm Comm Cust Fcst'!$P15*'Non-Residential TSM UC Adj'!C13</f>
        <v>0</v>
      </c>
      <c r="D14" s="23">
        <f>'Sm Comm Cust Fcst'!$P15*'Non-Residential TSM UC Adj'!D13</f>
        <v>0</v>
      </c>
      <c r="E14" s="45">
        <f>IF(SUM(B14:D14)=0,0,SUM(B14:D14)/'Sm Comm Cust Fcst'!P15)</f>
        <v>0</v>
      </c>
      <c r="F14" s="137">
        <f>'Sm Comm Cust Fcst'!$Q15*'Non-Residential TSM UC Adj'!F13</f>
        <v>0</v>
      </c>
      <c r="G14" s="23">
        <f>'Sm Comm Cust Fcst'!$Q15*'Non-Residential TSM UC Adj'!G13</f>
        <v>0</v>
      </c>
      <c r="H14" s="23">
        <f>'Sm Comm Cust Fcst'!$Q15*'Non-Residential TSM UC Adj'!H13</f>
        <v>0</v>
      </c>
      <c r="I14" s="45">
        <f>IF(SUM(F14:H14)=0,0,SUM(F14:H14)/'Sm Comm Cust Fcst'!Q15)</f>
        <v>0</v>
      </c>
      <c r="J14" s="137">
        <f>'Sm Comm Cust Fcst'!$R15*'Non-Residential TSM UC Adj'!J13</f>
        <v>14844.294879568015</v>
      </c>
      <c r="K14" s="23">
        <f>'Sm Comm Cust Fcst'!$R15*'Non-Residential TSM UC Adj'!K13</f>
        <v>1440.5499348403266</v>
      </c>
      <c r="L14" s="23">
        <f>'Sm Comm Cust Fcst'!$R15*'Non-Residential TSM UC Adj'!L13</f>
        <v>301.76349896014176</v>
      </c>
      <c r="M14" s="45">
        <f>IF(SUM(J14:L14)=0,0,SUM(J14:L14)/'Sm Comm Cust Fcst'!R15)</f>
        <v>16586.608313368484</v>
      </c>
      <c r="N14" s="137">
        <f>'Sm Comm Cust Fcst'!$S15*'Non-Residential TSM UC Adj'!N13</f>
        <v>0</v>
      </c>
      <c r="O14" s="23">
        <f>'Sm Comm Cust Fcst'!$S15*'Non-Residential TSM UC Adj'!O13</f>
        <v>0</v>
      </c>
      <c r="P14" s="23">
        <f>'Sm Comm Cust Fcst'!$S15*'Non-Residential TSM UC Adj'!P13</f>
        <v>0</v>
      </c>
      <c r="Q14" s="23">
        <f>IF(SUM(N14:P14)=0,0,SUM(N14:P14)/'Sm Comm Cust Fcst'!S15)</f>
        <v>0</v>
      </c>
      <c r="R14" s="137">
        <f t="shared" si="1"/>
        <v>14844.294879568015</v>
      </c>
      <c r="S14" s="23">
        <f t="shared" si="0"/>
        <v>1440.5499348403266</v>
      </c>
      <c r="T14" s="23">
        <f t="shared" si="0"/>
        <v>301.76349896014176</v>
      </c>
      <c r="U14" s="45">
        <f>IF(SUM(R14:T14)=0,0,SUM(R14:T14)/'Sm Comm Cust Fcst'!T15)</f>
        <v>16586.608313368484</v>
      </c>
    </row>
    <row r="15" spans="1:21">
      <c r="A15" s="155" t="s">
        <v>10</v>
      </c>
      <c r="B15" s="137">
        <f>'Sm Comm Cust Fcst'!$P16*'Non-Residential TSM UC Adj'!B14</f>
        <v>0</v>
      </c>
      <c r="C15" s="23">
        <f>'Sm Comm Cust Fcst'!$P16*'Non-Residential TSM UC Adj'!C14</f>
        <v>0</v>
      </c>
      <c r="D15" s="23">
        <f>'Sm Comm Cust Fcst'!$P16*'Non-Residential TSM UC Adj'!D14</f>
        <v>0</v>
      </c>
      <c r="E15" s="45">
        <f>IF(SUM(B15:D15)=0,0,SUM(B15:D15)/'Sm Comm Cust Fcst'!P16)</f>
        <v>0</v>
      </c>
      <c r="F15" s="137">
        <f>'Sm Comm Cust Fcst'!$Q16*'Non-Residential TSM UC Adj'!F14</f>
        <v>0</v>
      </c>
      <c r="G15" s="23">
        <f>'Sm Comm Cust Fcst'!$Q16*'Non-Residential TSM UC Adj'!G14</f>
        <v>0</v>
      </c>
      <c r="H15" s="23">
        <f>'Sm Comm Cust Fcst'!$Q16*'Non-Residential TSM UC Adj'!H14</f>
        <v>0</v>
      </c>
      <c r="I15" s="45">
        <f>IF(SUM(F15:H15)=0,0,SUM(F15:H15)/'Sm Comm Cust Fcst'!Q16)</f>
        <v>0</v>
      </c>
      <c r="J15" s="137">
        <f>'Sm Comm Cust Fcst'!$R16*'Non-Residential TSM UC Adj'!J14</f>
        <v>0</v>
      </c>
      <c r="K15" s="23">
        <f>'Sm Comm Cust Fcst'!$R16*'Non-Residential TSM UC Adj'!K14</f>
        <v>0</v>
      </c>
      <c r="L15" s="23">
        <f>'Sm Comm Cust Fcst'!$R16*'Non-Residential TSM UC Adj'!L14</f>
        <v>0</v>
      </c>
      <c r="M15" s="45">
        <f>IF(SUM(J15:L15)=0,0,SUM(J15:L15)/'Sm Comm Cust Fcst'!R16)</f>
        <v>0</v>
      </c>
      <c r="N15" s="137">
        <f>'Sm Comm Cust Fcst'!$S16*'Non-Residential TSM UC Adj'!N14</f>
        <v>0</v>
      </c>
      <c r="O15" s="23">
        <f>'Sm Comm Cust Fcst'!$S16*'Non-Residential TSM UC Adj'!O14</f>
        <v>0</v>
      </c>
      <c r="P15" s="23">
        <f>'Sm Comm Cust Fcst'!$S16*'Non-Residential TSM UC Adj'!P14</f>
        <v>0</v>
      </c>
      <c r="Q15" s="23">
        <f>IF(SUM(N15:P15)=0,0,SUM(N15:P15)/'Sm Comm Cust Fcst'!S16)</f>
        <v>0</v>
      </c>
      <c r="R15" s="137">
        <f t="shared" si="1"/>
        <v>0</v>
      </c>
      <c r="S15" s="23">
        <f t="shared" si="0"/>
        <v>0</v>
      </c>
      <c r="T15" s="23">
        <f t="shared" si="0"/>
        <v>0</v>
      </c>
      <c r="U15" s="45">
        <f>IF(SUM(R15:T15)=0,0,SUM(R15:T15)/'Sm Comm Cust Fcst'!T16)</f>
        <v>0</v>
      </c>
    </row>
    <row r="16" spans="1:21">
      <c r="A16" s="155" t="s">
        <v>11</v>
      </c>
      <c r="B16" s="137">
        <f>'Sm Comm Cust Fcst'!$P17*'Non-Residential TSM UC Adj'!B15</f>
        <v>0</v>
      </c>
      <c r="C16" s="23">
        <f>'Sm Comm Cust Fcst'!$P17*'Non-Residential TSM UC Adj'!C15</f>
        <v>0</v>
      </c>
      <c r="D16" s="23">
        <f>'Sm Comm Cust Fcst'!$P17*'Non-Residential TSM UC Adj'!D15</f>
        <v>0</v>
      </c>
      <c r="E16" s="45">
        <f>IF(SUM(B16:D16)=0,0,SUM(B16:D16)/'Sm Comm Cust Fcst'!P17)</f>
        <v>0</v>
      </c>
      <c r="F16" s="137">
        <f>'Sm Comm Cust Fcst'!$Q17*'Non-Residential TSM UC Adj'!F15</f>
        <v>0</v>
      </c>
      <c r="G16" s="23">
        <f>'Sm Comm Cust Fcst'!$Q17*'Non-Residential TSM UC Adj'!G15</f>
        <v>0</v>
      </c>
      <c r="H16" s="23">
        <f>'Sm Comm Cust Fcst'!$Q17*'Non-Residential TSM UC Adj'!H15</f>
        <v>0</v>
      </c>
      <c r="I16" s="45">
        <f>IF(SUM(F16:H16)=0,0,SUM(F16:H16)/'Sm Comm Cust Fcst'!Q17)</f>
        <v>0</v>
      </c>
      <c r="J16" s="137">
        <f>'Sm Comm Cust Fcst'!$R17*'Non-Residential TSM UC Adj'!J15</f>
        <v>0</v>
      </c>
      <c r="K16" s="23">
        <f>'Sm Comm Cust Fcst'!$R17*'Non-Residential TSM UC Adj'!K15</f>
        <v>0</v>
      </c>
      <c r="L16" s="23">
        <f>'Sm Comm Cust Fcst'!$R17*'Non-Residential TSM UC Adj'!L15</f>
        <v>0</v>
      </c>
      <c r="M16" s="45">
        <f>IF(SUM(J16:L16)=0,0,SUM(J16:L16)/'Sm Comm Cust Fcst'!R17)</f>
        <v>0</v>
      </c>
      <c r="N16" s="137">
        <f>'Sm Comm Cust Fcst'!$S17*'Non-Residential TSM UC Adj'!N15</f>
        <v>0</v>
      </c>
      <c r="O16" s="23">
        <f>'Sm Comm Cust Fcst'!$S17*'Non-Residential TSM UC Adj'!O15</f>
        <v>0</v>
      </c>
      <c r="P16" s="23">
        <f>'Sm Comm Cust Fcst'!$S17*'Non-Residential TSM UC Adj'!P15</f>
        <v>0</v>
      </c>
      <c r="Q16" s="23">
        <f>IF(SUM(N16:P16)=0,0,SUM(N16:P16)/'Sm Comm Cust Fcst'!S17)</f>
        <v>0</v>
      </c>
      <c r="R16" s="137">
        <f t="shared" si="1"/>
        <v>0</v>
      </c>
      <c r="S16" s="23">
        <f t="shared" si="0"/>
        <v>0</v>
      </c>
      <c r="T16" s="23">
        <f t="shared" si="0"/>
        <v>0</v>
      </c>
      <c r="U16" s="45">
        <f>IF(SUM(R16:T16)=0,0,SUM(R16:T16)/'Sm Comm Cust Fcst'!T17)</f>
        <v>0</v>
      </c>
    </row>
    <row r="17" spans="1:21">
      <c r="A17" s="155" t="s">
        <v>120</v>
      </c>
      <c r="B17" s="137">
        <f>'Sm Comm Cust Fcst'!$P18*'Non-Residential TSM UC Adj'!B16</f>
        <v>0</v>
      </c>
      <c r="C17" s="23">
        <f>'Sm Comm Cust Fcst'!$P18*'Non-Residential TSM UC Adj'!C16</f>
        <v>0</v>
      </c>
      <c r="D17" s="23">
        <f>'Sm Comm Cust Fcst'!$P18*'Non-Residential TSM UC Adj'!D16</f>
        <v>0</v>
      </c>
      <c r="E17" s="45">
        <f>IF(SUM(B17:D17)=0,0,SUM(B17:D17)/'Sm Comm Cust Fcst'!P18)</f>
        <v>0</v>
      </c>
      <c r="F17" s="137">
        <f>'Sm Comm Cust Fcst'!$Q18*'Non-Residential TSM UC Adj'!F16</f>
        <v>0</v>
      </c>
      <c r="G17" s="23">
        <f>'Sm Comm Cust Fcst'!$Q18*'Non-Residential TSM UC Adj'!G16</f>
        <v>0</v>
      </c>
      <c r="H17" s="23">
        <f>'Sm Comm Cust Fcst'!$Q18*'Non-Residential TSM UC Adj'!H16</f>
        <v>0</v>
      </c>
      <c r="I17" s="45">
        <f>IF(SUM(F17:H17)=0,0,SUM(F17:H17)/'Sm Comm Cust Fcst'!Q18)</f>
        <v>0</v>
      </c>
      <c r="J17" s="137">
        <f>'Sm Comm Cust Fcst'!$R18*'Non-Residential TSM UC Adj'!J16</f>
        <v>0</v>
      </c>
      <c r="K17" s="23">
        <f>'Sm Comm Cust Fcst'!$R18*'Non-Residential TSM UC Adj'!K16</f>
        <v>0</v>
      </c>
      <c r="L17" s="23">
        <f>'Sm Comm Cust Fcst'!$R18*'Non-Residential TSM UC Adj'!L16</f>
        <v>0</v>
      </c>
      <c r="M17" s="45">
        <f>IF(SUM(J17:L17)=0,0,SUM(J17:L17)/'Sm Comm Cust Fcst'!R18)</f>
        <v>0</v>
      </c>
      <c r="N17" s="137">
        <f>'Sm Comm Cust Fcst'!$S18*'Non-Residential TSM UC Adj'!N16</f>
        <v>0</v>
      </c>
      <c r="O17" s="23">
        <f>'Sm Comm Cust Fcst'!$S18*'Non-Residential TSM UC Adj'!O16</f>
        <v>0</v>
      </c>
      <c r="P17" s="23">
        <f>'Sm Comm Cust Fcst'!$S18*'Non-Residential TSM UC Adj'!P16</f>
        <v>0</v>
      </c>
      <c r="Q17" s="23">
        <f>IF(SUM(N17:P17)=0,0,SUM(N17:P17)/'Sm Comm Cust Fcst'!S18)</f>
        <v>0</v>
      </c>
      <c r="R17" s="137">
        <f t="shared" si="1"/>
        <v>0</v>
      </c>
      <c r="S17" s="23">
        <f t="shared" si="0"/>
        <v>0</v>
      </c>
      <c r="T17" s="23">
        <f t="shared" si="0"/>
        <v>0</v>
      </c>
      <c r="U17" s="45">
        <f>IF(SUM(R17:T17)=0,0,SUM(R17:T17)/'Sm Comm Cust Fcst'!T18)</f>
        <v>0</v>
      </c>
    </row>
    <row r="18" spans="1:21">
      <c r="A18" s="155" t="s">
        <v>121</v>
      </c>
      <c r="B18" s="137">
        <f>'Sm Comm Cust Fcst'!$P19*'Non-Residential TSM UC Adj'!J17</f>
        <v>0</v>
      </c>
      <c r="C18" s="23">
        <f>'Sm Comm Cust Fcst'!$P19*'Non-Residential TSM UC Adj'!K17</f>
        <v>0</v>
      </c>
      <c r="D18" s="23">
        <f>'Sm Comm Cust Fcst'!$P19*'Non-Residential TSM UC Adj'!L17</f>
        <v>0</v>
      </c>
      <c r="E18" s="45">
        <f>IF(SUM(B18:D18)=0,0,SUM(B18:D18)/'Sm Comm Cust Fcst'!P19)</f>
        <v>0</v>
      </c>
      <c r="F18" s="137">
        <f>'Sm Comm Cust Fcst'!$Q19*'Non-Residential TSM UC Adj'!F17</f>
        <v>0</v>
      </c>
      <c r="G18" s="23">
        <f>'Sm Comm Cust Fcst'!$Q19*'Non-Residential TSM UC Adj'!G17</f>
        <v>0</v>
      </c>
      <c r="H18" s="23">
        <f>'Sm Comm Cust Fcst'!$Q19*'Non-Residential TSM UC Adj'!H17</f>
        <v>0</v>
      </c>
      <c r="I18" s="45">
        <f>IF(SUM(F18:H18)=0,0,SUM(F18:H18)/'Sm Comm Cust Fcst'!Q19)</f>
        <v>0</v>
      </c>
      <c r="J18" s="137">
        <f>'Sm Comm Cust Fcst'!$R19*'Non-Residential TSM UC Adj'!J17</f>
        <v>0</v>
      </c>
      <c r="K18" s="23">
        <f>'Sm Comm Cust Fcst'!$R19*'Non-Residential TSM UC Adj'!K17</f>
        <v>0</v>
      </c>
      <c r="L18" s="23">
        <f>'Sm Comm Cust Fcst'!$R19*'Non-Residential TSM UC Adj'!L17</f>
        <v>0</v>
      </c>
      <c r="M18" s="45">
        <f>IF(SUM(J18:L18)=0,0,SUM(J18:L18)/'Sm Comm Cust Fcst'!R19)</f>
        <v>0</v>
      </c>
      <c r="N18" s="137">
        <f>'Sm Comm Cust Fcst'!$S19*'Non-Residential TSM UC Adj'!N17</f>
        <v>0</v>
      </c>
      <c r="O18" s="23">
        <f>'Sm Comm Cust Fcst'!$S19*'Non-Residential TSM UC Adj'!O17</f>
        <v>0</v>
      </c>
      <c r="P18" s="23">
        <f>'Sm Comm Cust Fcst'!$S19*'Non-Residential TSM UC Adj'!P17</f>
        <v>0</v>
      </c>
      <c r="Q18" s="23">
        <f>IF(SUM(N18:P18)=0,0,SUM(N18:P18)/'Sm Comm Cust Fcst'!S19)</f>
        <v>0</v>
      </c>
      <c r="R18" s="137">
        <f t="shared" si="1"/>
        <v>0</v>
      </c>
      <c r="S18" s="23">
        <f t="shared" si="0"/>
        <v>0</v>
      </c>
      <c r="T18" s="23">
        <f t="shared" si="0"/>
        <v>0</v>
      </c>
      <c r="U18" s="45">
        <f>IF(SUM(R18:T18)=0,0,SUM(R18:T18)/'Sm Comm Cust Fcst'!T19)</f>
        <v>0</v>
      </c>
    </row>
    <row r="19" spans="1:21">
      <c r="A19" s="155" t="s">
        <v>12</v>
      </c>
      <c r="B19" s="137">
        <f>'Sm Comm Cust Fcst'!$P20*'Non-Residential TSM UC Adj'!J18</f>
        <v>0</v>
      </c>
      <c r="C19" s="23">
        <f>'Sm Comm Cust Fcst'!$P20*'Non-Residential TSM UC Adj'!K18</f>
        <v>0</v>
      </c>
      <c r="D19" s="23">
        <f>'Sm Comm Cust Fcst'!$P20*'Non-Residential TSM UC Adj'!L18</f>
        <v>0</v>
      </c>
      <c r="E19" s="45">
        <f>IF(SUM(B19:D19)=0,0,SUM(B19:D19)/'Sm Comm Cust Fcst'!P20)</f>
        <v>0</v>
      </c>
      <c r="F19" s="137">
        <f>'Sm Comm Cust Fcst'!$Q20*'Non-Residential TSM UC Adj'!J18</f>
        <v>0</v>
      </c>
      <c r="G19" s="23">
        <f>'Sm Comm Cust Fcst'!$Q20*'Non-Residential TSM UC Adj'!K18</f>
        <v>0</v>
      </c>
      <c r="H19" s="23">
        <f>'Sm Comm Cust Fcst'!$Q20*'Non-Residential TSM UC Adj'!L18</f>
        <v>0</v>
      </c>
      <c r="I19" s="45">
        <f>IF(SUM(F19:H19)=0,0,SUM(F19:H19)/'Sm Comm Cust Fcst'!Q20)</f>
        <v>0</v>
      </c>
      <c r="J19" s="137">
        <f>'Sm Comm Cust Fcst'!$R20*'Non-Residential TSM UC Adj'!J18</f>
        <v>0</v>
      </c>
      <c r="K19" s="23">
        <f>'Sm Comm Cust Fcst'!$R20*'Non-Residential TSM UC Adj'!K18</f>
        <v>0</v>
      </c>
      <c r="L19" s="23">
        <f>'Sm Comm Cust Fcst'!$R20*'Non-Residential TSM UC Adj'!L18</f>
        <v>0</v>
      </c>
      <c r="M19" s="45">
        <f>IF(SUM(J19:L19)=0,0,SUM(J19:L19)/'Sm Comm Cust Fcst'!R20)</f>
        <v>0</v>
      </c>
      <c r="N19" s="137">
        <f>'Sm Comm Cust Fcst'!$S20*'Non-Residential TSM UC Adj'!N18</f>
        <v>0</v>
      </c>
      <c r="O19" s="23">
        <f>'Sm Comm Cust Fcst'!$S20*'Non-Residential TSM UC Adj'!O18</f>
        <v>0</v>
      </c>
      <c r="P19" s="23">
        <f>'Sm Comm Cust Fcst'!$S20*'Non-Residential TSM UC Adj'!P18</f>
        <v>0</v>
      </c>
      <c r="Q19" s="23">
        <f>IF(SUM(N19:P19)=0,0,SUM(N19:P19)/'Sm Comm Cust Fcst'!S20)</f>
        <v>0</v>
      </c>
      <c r="R19" s="137">
        <f t="shared" si="1"/>
        <v>0</v>
      </c>
      <c r="S19" s="23">
        <f t="shared" si="0"/>
        <v>0</v>
      </c>
      <c r="T19" s="23">
        <f t="shared" si="0"/>
        <v>0</v>
      </c>
      <c r="U19" s="45">
        <f>IF(SUM(R19:T19)=0,0,SUM(R19:T19)/'Sm Comm Cust Fcst'!T20)</f>
        <v>0</v>
      </c>
    </row>
    <row r="20" spans="1:21">
      <c r="A20" s="155" t="s">
        <v>13</v>
      </c>
      <c r="B20" s="137">
        <f>'Sm Comm Cust Fcst'!$P21*'Non-Residential TSM UC Adj'!J19</f>
        <v>0</v>
      </c>
      <c r="C20" s="23">
        <f>'Sm Comm Cust Fcst'!$P21*'Non-Residential TSM UC Adj'!K19</f>
        <v>0</v>
      </c>
      <c r="D20" s="23">
        <f>'Sm Comm Cust Fcst'!$P21*'Non-Residential TSM UC Adj'!L19</f>
        <v>0</v>
      </c>
      <c r="E20" s="45">
        <f>IF(SUM(B20:D20)=0,0,SUM(B20:D20)/'Sm Comm Cust Fcst'!P21)</f>
        <v>0</v>
      </c>
      <c r="F20" s="137">
        <f>'Sm Comm Cust Fcst'!$Q21*'Non-Residential TSM UC Adj'!J19</f>
        <v>0</v>
      </c>
      <c r="G20" s="23">
        <f>'Sm Comm Cust Fcst'!$Q21*'Non-Residential TSM UC Adj'!K19</f>
        <v>0</v>
      </c>
      <c r="H20" s="23">
        <f>'Sm Comm Cust Fcst'!$Q21*'Non-Residential TSM UC Adj'!L19</f>
        <v>0</v>
      </c>
      <c r="I20" s="45">
        <f>IF(SUM(F20:H20)=0,0,SUM(F20:H20)/'Sm Comm Cust Fcst'!Q21)</f>
        <v>0</v>
      </c>
      <c r="J20" s="137">
        <f>'Sm Comm Cust Fcst'!$R21*'Non-Residential TSM UC Adj'!J19</f>
        <v>0</v>
      </c>
      <c r="K20" s="23">
        <f>'Sm Comm Cust Fcst'!$R21*'Non-Residential TSM UC Adj'!K19</f>
        <v>0</v>
      </c>
      <c r="L20" s="23">
        <f>'Sm Comm Cust Fcst'!$R21*'Non-Residential TSM UC Adj'!L19</f>
        <v>0</v>
      </c>
      <c r="M20" s="45">
        <f>IF(SUM(J20:L20)=0,0,SUM(J20:L20)/'Sm Comm Cust Fcst'!R21)</f>
        <v>0</v>
      </c>
      <c r="N20" s="137">
        <f>'Sm Comm Cust Fcst'!$S21*'Non-Residential TSM UC Adj'!N19</f>
        <v>0</v>
      </c>
      <c r="O20" s="23">
        <f>'Sm Comm Cust Fcst'!$S21*'Non-Residential TSM UC Adj'!O19</f>
        <v>0</v>
      </c>
      <c r="P20" s="23">
        <f>'Sm Comm Cust Fcst'!$S21*'Non-Residential TSM UC Adj'!P19</f>
        <v>0</v>
      </c>
      <c r="Q20" s="23">
        <f>IF(SUM(N20:P20)=0,0,SUM(N20:P20)/'Sm Comm Cust Fcst'!S21)</f>
        <v>0</v>
      </c>
      <c r="R20" s="137">
        <f t="shared" si="1"/>
        <v>0</v>
      </c>
      <c r="S20" s="23">
        <f t="shared" si="0"/>
        <v>0</v>
      </c>
      <c r="T20" s="23">
        <f t="shared" si="0"/>
        <v>0</v>
      </c>
      <c r="U20" s="45">
        <f>IF(SUM(R20:T20)=0,0,SUM(R20:T20)/'Sm Comm Cust Fcst'!T21)</f>
        <v>0</v>
      </c>
    </row>
    <row r="21" spans="1:21">
      <c r="A21" s="155" t="s">
        <v>122</v>
      </c>
      <c r="B21" s="137">
        <f>'Sm Comm Cust Fcst'!$P22*'Non-Residential TSM UC Adj'!J20</f>
        <v>0</v>
      </c>
      <c r="C21" s="23">
        <f>'Sm Comm Cust Fcst'!$P22*'Non-Residential TSM UC Adj'!K20</f>
        <v>0</v>
      </c>
      <c r="D21" s="23">
        <f>'Sm Comm Cust Fcst'!$P22*'Non-Residential TSM UC Adj'!L20</f>
        <v>0</v>
      </c>
      <c r="E21" s="45">
        <f>IF(SUM(B21:D21)=0,0,SUM(B21:D21)/'Sm Comm Cust Fcst'!P22)</f>
        <v>0</v>
      </c>
      <c r="F21" s="137">
        <f>'Sm Comm Cust Fcst'!$Q22*'Non-Residential TSM UC Adj'!J20</f>
        <v>0</v>
      </c>
      <c r="G21" s="23">
        <f>'Sm Comm Cust Fcst'!$Q22*'Non-Residential TSM UC Adj'!K20</f>
        <v>0</v>
      </c>
      <c r="H21" s="23">
        <f>'Sm Comm Cust Fcst'!$Q22*'Non-Residential TSM UC Adj'!L20</f>
        <v>0</v>
      </c>
      <c r="I21" s="45">
        <f>IF(SUM(F21:H21)=0,0,SUM(F21:H21)/'Sm Comm Cust Fcst'!Q22)</f>
        <v>0</v>
      </c>
      <c r="J21" s="137">
        <f>'Sm Comm Cust Fcst'!$R22*'Non-Residential TSM UC Adj'!J20</f>
        <v>0</v>
      </c>
      <c r="K21" s="23">
        <f>'Sm Comm Cust Fcst'!$R22*'Non-Residential TSM UC Adj'!K20</f>
        <v>0</v>
      </c>
      <c r="L21" s="23">
        <f>'Sm Comm Cust Fcst'!$R22*'Non-Residential TSM UC Adj'!L20</f>
        <v>0</v>
      </c>
      <c r="M21" s="45">
        <f>IF(SUM(J21:L21)=0,0,SUM(J21:L21)/'Sm Comm Cust Fcst'!R22)</f>
        <v>0</v>
      </c>
      <c r="N21" s="137">
        <f>'Sm Comm Cust Fcst'!$S22*'Non-Residential TSM UC Adj'!N20</f>
        <v>0</v>
      </c>
      <c r="O21" s="23">
        <f>'Sm Comm Cust Fcst'!$S22*'Non-Residential TSM UC Adj'!O20</f>
        <v>0</v>
      </c>
      <c r="P21" s="23">
        <f>'Sm Comm Cust Fcst'!$S22*'Non-Residential TSM UC Adj'!P20</f>
        <v>0</v>
      </c>
      <c r="Q21" s="23">
        <f>IF(SUM(N21:P21)=0,0,SUM(N21:P21)/'Sm Comm Cust Fcst'!S22)</f>
        <v>0</v>
      </c>
      <c r="R21" s="137">
        <f t="shared" si="1"/>
        <v>0</v>
      </c>
      <c r="S21" s="23">
        <f t="shared" si="0"/>
        <v>0</v>
      </c>
      <c r="T21" s="23">
        <f t="shared" si="0"/>
        <v>0</v>
      </c>
      <c r="U21" s="45">
        <f>IF(SUM(R21:T21)=0,0,SUM(R21:T21)/'Sm Comm Cust Fcst'!T22)</f>
        <v>0</v>
      </c>
    </row>
    <row r="22" spans="1:21">
      <c r="A22" s="155" t="s">
        <v>123</v>
      </c>
      <c r="B22" s="137">
        <f>'Sm Comm Cust Fcst'!$P23*'Non-Residential TSM UC Adj'!J21</f>
        <v>0</v>
      </c>
      <c r="C22" s="23">
        <f>'Sm Comm Cust Fcst'!$P23*'Non-Residential TSM UC Adj'!K21</f>
        <v>0</v>
      </c>
      <c r="D22" s="23">
        <f>'Sm Comm Cust Fcst'!$P23*'Non-Residential TSM UC Adj'!L21</f>
        <v>0</v>
      </c>
      <c r="E22" s="45">
        <f>IF(SUM(B22:D22)=0,0,SUM(B22:D22)/'Sm Comm Cust Fcst'!P23)</f>
        <v>0</v>
      </c>
      <c r="F22" s="137">
        <f>'Sm Comm Cust Fcst'!$Q23*'Non-Residential TSM UC Adj'!J21</f>
        <v>0</v>
      </c>
      <c r="G22" s="23">
        <f>'Sm Comm Cust Fcst'!$Q23*'Non-Residential TSM UC Adj'!K21</f>
        <v>0</v>
      </c>
      <c r="H22" s="23">
        <f>'Sm Comm Cust Fcst'!$Q23*'Non-Residential TSM UC Adj'!L21</f>
        <v>0</v>
      </c>
      <c r="I22" s="45">
        <f>IF(SUM(F22:H22)=0,0,SUM(F22:H22)/'Sm Comm Cust Fcst'!Q23)</f>
        <v>0</v>
      </c>
      <c r="J22" s="137">
        <f>'Sm Comm Cust Fcst'!$R23*'Non-Residential TSM UC Adj'!J21</f>
        <v>0</v>
      </c>
      <c r="K22" s="23">
        <f>'Sm Comm Cust Fcst'!$R23*'Non-Residential TSM UC Adj'!K21</f>
        <v>0</v>
      </c>
      <c r="L22" s="23">
        <f>'Sm Comm Cust Fcst'!$R23*'Non-Residential TSM UC Adj'!L21</f>
        <v>0</v>
      </c>
      <c r="M22" s="45">
        <f>IF(SUM(J22:L22)=0,0,SUM(J22:L22)/'Sm Comm Cust Fcst'!R23)</f>
        <v>0</v>
      </c>
      <c r="N22" s="137">
        <f>'Sm Comm Cust Fcst'!$S23*'Non-Residential TSM UC Adj'!N21</f>
        <v>0</v>
      </c>
      <c r="O22" s="23">
        <f>'Sm Comm Cust Fcst'!$S23*'Non-Residential TSM UC Adj'!O21</f>
        <v>0</v>
      </c>
      <c r="P22" s="23">
        <f>'Sm Comm Cust Fcst'!$S23*'Non-Residential TSM UC Adj'!P21</f>
        <v>0</v>
      </c>
      <c r="Q22" s="23">
        <f>IF(SUM(N22:P22)=0,0,SUM(N22:P22)/'Sm Comm Cust Fcst'!S23)</f>
        <v>0</v>
      </c>
      <c r="R22" s="137">
        <f t="shared" si="1"/>
        <v>0</v>
      </c>
      <c r="S22" s="23">
        <f t="shared" si="0"/>
        <v>0</v>
      </c>
      <c r="T22" s="23">
        <f t="shared" si="0"/>
        <v>0</v>
      </c>
      <c r="U22" s="45">
        <f>IF(SUM(R22:T22)=0,0,SUM(R22:T22)/'Sm Comm Cust Fcst'!T23)</f>
        <v>0</v>
      </c>
    </row>
    <row r="23" spans="1:21">
      <c r="A23" s="153" t="s">
        <v>14</v>
      </c>
      <c r="B23" s="137">
        <f>'Sm Comm Cust Fcst'!$P24*'Non-Residential TSM UC Adj'!J22</f>
        <v>0</v>
      </c>
      <c r="C23" s="23">
        <f>'Sm Comm Cust Fcst'!$P24*'Non-Residential TSM UC Adj'!K22</f>
        <v>0</v>
      </c>
      <c r="D23" s="23">
        <f>'Sm Comm Cust Fcst'!$P24*'Non-Residential TSM UC Adj'!L22</f>
        <v>0</v>
      </c>
      <c r="E23" s="45">
        <f>IF(SUM(B23:D23)=0,0,SUM(B23:D23)/'Sm Comm Cust Fcst'!P24)</f>
        <v>0</v>
      </c>
      <c r="F23" s="137">
        <f>'Sm Comm Cust Fcst'!$Q24*'Non-Residential TSM UC Adj'!J22</f>
        <v>0</v>
      </c>
      <c r="G23" s="23">
        <f>'Sm Comm Cust Fcst'!$Q24*'Non-Residential TSM UC Adj'!K22</f>
        <v>0</v>
      </c>
      <c r="H23" s="23">
        <f>'Sm Comm Cust Fcst'!$Q24*'Non-Residential TSM UC Adj'!L22</f>
        <v>0</v>
      </c>
      <c r="I23" s="45">
        <f>IF(SUM(F23:H23)=0,0,SUM(F23:H23)/'Sm Comm Cust Fcst'!Q24)</f>
        <v>0</v>
      </c>
      <c r="J23" s="137">
        <f>'Sm Comm Cust Fcst'!$R24*'Non-Residential TSM UC Adj'!J22</f>
        <v>0</v>
      </c>
      <c r="K23" s="23">
        <f>'Sm Comm Cust Fcst'!$R24*'Non-Residential TSM UC Adj'!K22</f>
        <v>0</v>
      </c>
      <c r="L23" s="23">
        <f>'Sm Comm Cust Fcst'!$R24*'Non-Residential TSM UC Adj'!L22</f>
        <v>0</v>
      </c>
      <c r="M23" s="45">
        <f>IF(SUM(J23:L23)=0,0,SUM(J23:L23)/'Sm Comm Cust Fcst'!R24)</f>
        <v>0</v>
      </c>
      <c r="N23" s="137">
        <f>'Sm Comm Cust Fcst'!$S24*'Non-Residential TSM UC Adj'!N22</f>
        <v>0</v>
      </c>
      <c r="O23" s="23">
        <f>'Sm Comm Cust Fcst'!$S24*'Non-Residential TSM UC Adj'!O22</f>
        <v>0</v>
      </c>
      <c r="P23" s="23">
        <f>'Sm Comm Cust Fcst'!$S24*'Non-Residential TSM UC Adj'!P22</f>
        <v>0</v>
      </c>
      <c r="Q23" s="23">
        <f>IF(SUM(N23:P23)=0,0,SUM(N23:P23)/'Sm Comm Cust Fcst'!S24)</f>
        <v>0</v>
      </c>
      <c r="R23" s="137">
        <f t="shared" si="1"/>
        <v>0</v>
      </c>
      <c r="S23" s="23">
        <f t="shared" si="0"/>
        <v>0</v>
      </c>
      <c r="T23" s="23">
        <f t="shared" si="0"/>
        <v>0</v>
      </c>
      <c r="U23" s="45">
        <f>IF(SUM(R23:T23)=0,0,SUM(R23:T23)/'Sm Comm Cust Fcst'!T24)</f>
        <v>0</v>
      </c>
    </row>
    <row r="24" spans="1:21">
      <c r="A24" s="155" t="s">
        <v>15</v>
      </c>
      <c r="B24" s="137">
        <f>'Sm Comm Cust Fcst'!$P25*'Non-Residential TSM UC Adj'!J23</f>
        <v>0</v>
      </c>
      <c r="C24" s="23">
        <f>'Sm Comm Cust Fcst'!$P25*'Non-Residential TSM UC Adj'!K23</f>
        <v>0</v>
      </c>
      <c r="D24" s="23">
        <f>'Sm Comm Cust Fcst'!$P25*'Non-Residential TSM UC Adj'!L23</f>
        <v>0</v>
      </c>
      <c r="E24" s="45">
        <f>IF(SUM(B24:D24)=0,0,SUM(B24:D24)/'Sm Comm Cust Fcst'!P25)</f>
        <v>0</v>
      </c>
      <c r="F24" s="137">
        <f>'Sm Comm Cust Fcst'!$Q25*'Non-Residential TSM UC Adj'!J23</f>
        <v>0</v>
      </c>
      <c r="G24" s="23">
        <f>'Sm Comm Cust Fcst'!$Q25*'Non-Residential TSM UC Adj'!K23</f>
        <v>0</v>
      </c>
      <c r="H24" s="23">
        <f>'Sm Comm Cust Fcst'!$Q25*'Non-Residential TSM UC Adj'!L23</f>
        <v>0</v>
      </c>
      <c r="I24" s="45">
        <f>IF(SUM(F24:H24)=0,0,SUM(F24:H24)/'Sm Comm Cust Fcst'!Q25)</f>
        <v>0</v>
      </c>
      <c r="J24" s="137">
        <f>'Sm Comm Cust Fcst'!$R25*'Non-Residential TSM UC Adj'!J23</f>
        <v>0</v>
      </c>
      <c r="K24" s="23">
        <f>'Sm Comm Cust Fcst'!$R25*'Non-Residential TSM UC Adj'!K23</f>
        <v>0</v>
      </c>
      <c r="L24" s="23">
        <f>'Sm Comm Cust Fcst'!$R25*'Non-Residential TSM UC Adj'!L23</f>
        <v>0</v>
      </c>
      <c r="M24" s="45">
        <f>IF(SUM(J24:L24)=0,0,SUM(J24:L24)/'Sm Comm Cust Fcst'!R25)</f>
        <v>0</v>
      </c>
      <c r="N24" s="137">
        <f>'Sm Comm Cust Fcst'!$S25*'Non-Residential TSM UC Adj'!N23</f>
        <v>0</v>
      </c>
      <c r="O24" s="23">
        <f>'Sm Comm Cust Fcst'!$S25*'Non-Residential TSM UC Adj'!O23</f>
        <v>0</v>
      </c>
      <c r="P24" s="23">
        <f>'Sm Comm Cust Fcst'!$S25*'Non-Residential TSM UC Adj'!P23</f>
        <v>0</v>
      </c>
      <c r="Q24" s="23">
        <f>IF(SUM(N24:P24)=0,0,SUM(N24:P24)/'Sm Comm Cust Fcst'!S25)</f>
        <v>0</v>
      </c>
      <c r="R24" s="137">
        <f t="shared" si="1"/>
        <v>0</v>
      </c>
      <c r="S24" s="23">
        <f t="shared" si="1"/>
        <v>0</v>
      </c>
      <c r="T24" s="23">
        <f t="shared" si="1"/>
        <v>0</v>
      </c>
      <c r="U24" s="45">
        <f>IF(SUM(R24:T24)=0,0,SUM(R24:T24)/'Sm Comm Cust Fcst'!T25)</f>
        <v>0</v>
      </c>
    </row>
    <row r="25" spans="1:21">
      <c r="A25" s="155" t="s">
        <v>16</v>
      </c>
      <c r="B25" s="137">
        <f>'Sm Comm Cust Fcst'!$P26*'Non-Residential TSM UC Adj'!J24</f>
        <v>0</v>
      </c>
      <c r="C25" s="23">
        <f>'Sm Comm Cust Fcst'!$P26*'Non-Residential TSM UC Adj'!K24</f>
        <v>0</v>
      </c>
      <c r="D25" s="23">
        <f>'Sm Comm Cust Fcst'!$P26*'Non-Residential TSM UC Adj'!L24</f>
        <v>0</v>
      </c>
      <c r="E25" s="45">
        <f>IF(SUM(B25:D25)=0,0,SUM(B25:D25)/'Sm Comm Cust Fcst'!P26)</f>
        <v>0</v>
      </c>
      <c r="F25" s="137">
        <f>'Sm Comm Cust Fcst'!$Q26*'Non-Residential TSM UC Adj'!J24</f>
        <v>0</v>
      </c>
      <c r="G25" s="23">
        <f>'Sm Comm Cust Fcst'!$Q26*'Non-Residential TSM UC Adj'!K24</f>
        <v>0</v>
      </c>
      <c r="H25" s="23">
        <f>'Sm Comm Cust Fcst'!$Q26*'Non-Residential TSM UC Adj'!L24</f>
        <v>0</v>
      </c>
      <c r="I25" s="45">
        <f>IF(SUM(F25:H25)=0,0,SUM(F25:H25)/'Sm Comm Cust Fcst'!Q26)</f>
        <v>0</v>
      </c>
      <c r="J25" s="137">
        <f>'Sm Comm Cust Fcst'!$R26*'Non-Residential TSM UC Adj'!J24</f>
        <v>0</v>
      </c>
      <c r="K25" s="23">
        <f>'Sm Comm Cust Fcst'!$R26*'Non-Residential TSM UC Adj'!K24</f>
        <v>0</v>
      </c>
      <c r="L25" s="23">
        <f>'Sm Comm Cust Fcst'!$R26*'Non-Residential TSM UC Adj'!L24</f>
        <v>0</v>
      </c>
      <c r="M25" s="45">
        <f>IF(SUM(J25:L25)=0,0,SUM(J25:L25)/'Sm Comm Cust Fcst'!R26)</f>
        <v>0</v>
      </c>
      <c r="N25" s="137">
        <f>'Sm Comm Cust Fcst'!$S26*'Non-Residential TSM UC Adj'!N24</f>
        <v>0</v>
      </c>
      <c r="O25" s="23">
        <f>'Sm Comm Cust Fcst'!$S26*'Non-Residential TSM UC Adj'!O24</f>
        <v>0</v>
      </c>
      <c r="P25" s="23">
        <f>'Sm Comm Cust Fcst'!$S26*'Non-Residential TSM UC Adj'!P24</f>
        <v>0</v>
      </c>
      <c r="Q25" s="23">
        <f>IF(SUM(N25:P25)=0,0,SUM(N25:P25)/'Sm Comm Cust Fcst'!S26)</f>
        <v>0</v>
      </c>
      <c r="R25" s="137">
        <f t="shared" si="1"/>
        <v>0</v>
      </c>
      <c r="S25" s="23">
        <f t="shared" si="1"/>
        <v>0</v>
      </c>
      <c r="T25" s="23">
        <f t="shared" si="1"/>
        <v>0</v>
      </c>
      <c r="U25" s="45">
        <f>IF(SUM(R25:T25)=0,0,SUM(R25:T25)/'Sm Comm Cust Fcst'!T26)</f>
        <v>0</v>
      </c>
    </row>
    <row r="26" spans="1:21">
      <c r="A26" s="155" t="s">
        <v>17</v>
      </c>
      <c r="B26" s="137">
        <f>'Sm Comm Cust Fcst'!$P27*'Non-Residential TSM UC Adj'!J25</f>
        <v>0</v>
      </c>
      <c r="C26" s="23">
        <f>'Sm Comm Cust Fcst'!$P27*'Non-Residential TSM UC Adj'!K25</f>
        <v>0</v>
      </c>
      <c r="D26" s="23">
        <f>'Sm Comm Cust Fcst'!$P27*'Non-Residential TSM UC Adj'!L25</f>
        <v>0</v>
      </c>
      <c r="E26" s="45">
        <f>IF(SUM(B26:D26)=0,0,SUM(B26:D26)/'Sm Comm Cust Fcst'!P27)</f>
        <v>0</v>
      </c>
      <c r="F26" s="137">
        <f>'Sm Comm Cust Fcst'!$Q27*'Non-Residential TSM UC Adj'!J25</f>
        <v>0</v>
      </c>
      <c r="G26" s="23">
        <f>'Sm Comm Cust Fcst'!$Q27*'Non-Residential TSM UC Adj'!K25</f>
        <v>0</v>
      </c>
      <c r="H26" s="23">
        <f>'Sm Comm Cust Fcst'!$Q27*'Non-Residential TSM UC Adj'!L25</f>
        <v>0</v>
      </c>
      <c r="I26" s="45">
        <f>IF(SUM(F26:H26)=0,0,SUM(F26:H26)/'Sm Comm Cust Fcst'!Q27)</f>
        <v>0</v>
      </c>
      <c r="J26" s="137">
        <f>'Sm Comm Cust Fcst'!$R27*'Non-Residential TSM UC Adj'!J25</f>
        <v>0</v>
      </c>
      <c r="K26" s="23">
        <f>'Sm Comm Cust Fcst'!$R27*'Non-Residential TSM UC Adj'!K25</f>
        <v>0</v>
      </c>
      <c r="L26" s="23">
        <f>'Sm Comm Cust Fcst'!$R27*'Non-Residential TSM UC Adj'!L25</f>
        <v>0</v>
      </c>
      <c r="M26" s="45">
        <f>IF(SUM(J26:L26)=0,0,SUM(J26:L26)/'Sm Comm Cust Fcst'!R27)</f>
        <v>0</v>
      </c>
      <c r="N26" s="137">
        <f>'Sm Comm Cust Fcst'!$S27*'Non-Residential TSM UC Adj'!N25</f>
        <v>0</v>
      </c>
      <c r="O26" s="23">
        <f>'Sm Comm Cust Fcst'!$S27*'Non-Residential TSM UC Adj'!O25</f>
        <v>0</v>
      </c>
      <c r="P26" s="23">
        <f>'Sm Comm Cust Fcst'!$S27*'Non-Residential TSM UC Adj'!P25</f>
        <v>0</v>
      </c>
      <c r="Q26" s="23">
        <f>IF(SUM(N26:P26)=0,0,SUM(N26:P26)/'Sm Comm Cust Fcst'!S27)</f>
        <v>0</v>
      </c>
      <c r="R26" s="137">
        <f t="shared" si="1"/>
        <v>0</v>
      </c>
      <c r="S26" s="23">
        <f t="shared" si="1"/>
        <v>0</v>
      </c>
      <c r="T26" s="23">
        <f t="shared" si="1"/>
        <v>0</v>
      </c>
      <c r="U26" s="45">
        <f>IF(SUM(R26:T26)=0,0,SUM(R26:T26)/'Sm Comm Cust Fcst'!T27)</f>
        <v>0</v>
      </c>
    </row>
    <row r="27" spans="1:21">
      <c r="A27" s="155" t="s">
        <v>18</v>
      </c>
      <c r="B27" s="137">
        <f>'Sm Comm Cust Fcst'!$P28*'Non-Residential TSM UC Adj'!J26</f>
        <v>0</v>
      </c>
      <c r="C27" s="23">
        <f>'Sm Comm Cust Fcst'!$P28*'Non-Residential TSM UC Adj'!K26</f>
        <v>0</v>
      </c>
      <c r="D27" s="23">
        <f>'Sm Comm Cust Fcst'!$P28*'Non-Residential TSM UC Adj'!L26</f>
        <v>0</v>
      </c>
      <c r="E27" s="45">
        <f>IF(SUM(B27:D27)=0,0,SUM(B27:D27)/'Sm Comm Cust Fcst'!P28)</f>
        <v>0</v>
      </c>
      <c r="F27" s="137">
        <f>'Sm Comm Cust Fcst'!$Q28*'Non-Residential TSM UC Adj'!J26</f>
        <v>0</v>
      </c>
      <c r="G27" s="23">
        <f>'Sm Comm Cust Fcst'!$Q28*'Non-Residential TSM UC Adj'!K26</f>
        <v>0</v>
      </c>
      <c r="H27" s="23">
        <f>'Sm Comm Cust Fcst'!$Q28*'Non-Residential TSM UC Adj'!L26</f>
        <v>0</v>
      </c>
      <c r="I27" s="45">
        <f>IF(SUM(F27:H27)=0,0,SUM(F27:H27)/'Sm Comm Cust Fcst'!Q28)</f>
        <v>0</v>
      </c>
      <c r="J27" s="137">
        <f>'Sm Comm Cust Fcst'!$R28*'Non-Residential TSM UC Adj'!J26</f>
        <v>0</v>
      </c>
      <c r="K27" s="23">
        <f>'Sm Comm Cust Fcst'!$R28*'Non-Residential TSM UC Adj'!K26</f>
        <v>0</v>
      </c>
      <c r="L27" s="23">
        <f>'Sm Comm Cust Fcst'!$R28*'Non-Residential TSM UC Adj'!L26</f>
        <v>0</v>
      </c>
      <c r="M27" s="45">
        <f>IF(SUM(J27:L27)=0,0,SUM(J27:L27)/'Sm Comm Cust Fcst'!R28)</f>
        <v>0</v>
      </c>
      <c r="N27" s="137">
        <f>'Sm Comm Cust Fcst'!$S28*'Non-Residential TSM UC Adj'!N26</f>
        <v>0</v>
      </c>
      <c r="O27" s="23">
        <f>'Sm Comm Cust Fcst'!$S28*'Non-Residential TSM UC Adj'!O26</f>
        <v>0</v>
      </c>
      <c r="P27" s="23">
        <f>'Sm Comm Cust Fcst'!$S28*'Non-Residential TSM UC Adj'!P26</f>
        <v>0</v>
      </c>
      <c r="Q27" s="23">
        <f>IF(SUM(N27:P27)=0,0,SUM(N27:P27)/'Sm Comm Cust Fcst'!S28)</f>
        <v>0</v>
      </c>
      <c r="R27" s="137">
        <f t="shared" si="1"/>
        <v>0</v>
      </c>
      <c r="S27" s="23">
        <f t="shared" si="1"/>
        <v>0</v>
      </c>
      <c r="T27" s="23">
        <f t="shared" si="1"/>
        <v>0</v>
      </c>
      <c r="U27" s="45">
        <f>IF(SUM(R27:T27)=0,0,SUM(R27:T27)/'Sm Comm Cust Fcst'!T28)</f>
        <v>0</v>
      </c>
    </row>
    <row r="28" spans="1:21">
      <c r="A28" s="155" t="s">
        <v>19</v>
      </c>
      <c r="B28" s="137">
        <f>'Sm Comm Cust Fcst'!$P29*'Non-Residential TSM UC Adj'!J27</f>
        <v>0</v>
      </c>
      <c r="C28" s="23">
        <f>'Sm Comm Cust Fcst'!$P29*'Non-Residential TSM UC Adj'!K27</f>
        <v>0</v>
      </c>
      <c r="D28" s="23">
        <f>'Sm Comm Cust Fcst'!$P29*'Non-Residential TSM UC Adj'!L27</f>
        <v>0</v>
      </c>
      <c r="E28" s="45">
        <f>IF(SUM(B28:D28)=0,0,SUM(B28:D28)/'Sm Comm Cust Fcst'!P29)</f>
        <v>0</v>
      </c>
      <c r="F28" s="137">
        <f>'Sm Comm Cust Fcst'!$Q29*'Non-Residential TSM UC Adj'!J27</f>
        <v>0</v>
      </c>
      <c r="G28" s="23">
        <f>'Sm Comm Cust Fcst'!$Q29*'Non-Residential TSM UC Adj'!K27</f>
        <v>0</v>
      </c>
      <c r="H28" s="23">
        <f>'Sm Comm Cust Fcst'!$Q29*'Non-Residential TSM UC Adj'!L27</f>
        <v>0</v>
      </c>
      <c r="I28" s="45">
        <f>IF(SUM(F28:H28)=0,0,SUM(F28:H28)/'Sm Comm Cust Fcst'!Q29)</f>
        <v>0</v>
      </c>
      <c r="J28" s="137">
        <f>'Sm Comm Cust Fcst'!$R29*'Non-Residential TSM UC Adj'!J27</f>
        <v>0</v>
      </c>
      <c r="K28" s="23">
        <f>'Sm Comm Cust Fcst'!$R29*'Non-Residential TSM UC Adj'!K27</f>
        <v>0</v>
      </c>
      <c r="L28" s="23">
        <f>'Sm Comm Cust Fcst'!$R29*'Non-Residential TSM UC Adj'!L27</f>
        <v>0</v>
      </c>
      <c r="M28" s="45">
        <f>IF(SUM(J28:L28)=0,0,SUM(J28:L28)/'Sm Comm Cust Fcst'!R29)</f>
        <v>0</v>
      </c>
      <c r="N28" s="137">
        <f>'Sm Comm Cust Fcst'!$S29*'Non-Residential TSM UC Adj'!N27</f>
        <v>0</v>
      </c>
      <c r="O28" s="23">
        <f>'Sm Comm Cust Fcst'!$S29*'Non-Residential TSM UC Adj'!O27</f>
        <v>0</v>
      </c>
      <c r="P28" s="23">
        <f>'Sm Comm Cust Fcst'!$S29*'Non-Residential TSM UC Adj'!P27</f>
        <v>0</v>
      </c>
      <c r="Q28" s="23">
        <f>IF(SUM(N28:P28)=0,0,SUM(N28:P28)/'Sm Comm Cust Fcst'!S29)</f>
        <v>0</v>
      </c>
      <c r="R28" s="137">
        <f t="shared" si="1"/>
        <v>0</v>
      </c>
      <c r="S28" s="23">
        <f t="shared" si="1"/>
        <v>0</v>
      </c>
      <c r="T28" s="23">
        <f t="shared" si="1"/>
        <v>0</v>
      </c>
      <c r="U28" s="45">
        <f>IF(SUM(R28:T28)=0,0,SUM(R28:T28)/'Sm Comm Cust Fcst'!T29)</f>
        <v>0</v>
      </c>
    </row>
    <row r="29" spans="1:21">
      <c r="A29" s="155" t="s">
        <v>20</v>
      </c>
      <c r="B29" s="137">
        <f>'Sm Comm Cust Fcst'!$P30*'Non-Residential TSM UC Adj'!J28</f>
        <v>0</v>
      </c>
      <c r="C29" s="23">
        <f>'Sm Comm Cust Fcst'!$P30*'Non-Residential TSM UC Adj'!K28</f>
        <v>0</v>
      </c>
      <c r="D29" s="23">
        <f>'Sm Comm Cust Fcst'!$P30*'Non-Residential TSM UC Adj'!L28</f>
        <v>0</v>
      </c>
      <c r="E29" s="45">
        <f>IF(SUM(B29:D29)=0,0,SUM(B29:D29)/'Sm Comm Cust Fcst'!P30)</f>
        <v>0</v>
      </c>
      <c r="F29" s="137">
        <f>'Sm Comm Cust Fcst'!$Q30*'Non-Residential TSM UC Adj'!J28</f>
        <v>0</v>
      </c>
      <c r="G29" s="23">
        <f>'Sm Comm Cust Fcst'!$Q30*'Non-Residential TSM UC Adj'!K28</f>
        <v>0</v>
      </c>
      <c r="H29" s="23">
        <f>'Sm Comm Cust Fcst'!$Q30*'Non-Residential TSM UC Adj'!L28</f>
        <v>0</v>
      </c>
      <c r="I29" s="45">
        <f>IF(SUM(F29:H29)=0,0,SUM(F29:H29)/'Sm Comm Cust Fcst'!Q30)</f>
        <v>0</v>
      </c>
      <c r="J29" s="137">
        <f>'Sm Comm Cust Fcst'!$R30*'Non-Residential TSM UC Adj'!J28</f>
        <v>0</v>
      </c>
      <c r="K29" s="23">
        <f>'Sm Comm Cust Fcst'!$R30*'Non-Residential TSM UC Adj'!K28</f>
        <v>0</v>
      </c>
      <c r="L29" s="23">
        <f>'Sm Comm Cust Fcst'!$R30*'Non-Residential TSM UC Adj'!L28</f>
        <v>0</v>
      </c>
      <c r="M29" s="45">
        <f>IF(SUM(J29:L29)=0,0,SUM(J29:L29)/'Sm Comm Cust Fcst'!R30)</f>
        <v>0</v>
      </c>
      <c r="N29" s="137">
        <f>'Sm Comm Cust Fcst'!$S30*'Non-Residential TSM UC Adj'!N28</f>
        <v>0</v>
      </c>
      <c r="O29" s="23">
        <f>'Sm Comm Cust Fcst'!$S30*'Non-Residential TSM UC Adj'!O28</f>
        <v>0</v>
      </c>
      <c r="P29" s="23">
        <f>'Sm Comm Cust Fcst'!$S30*'Non-Residential TSM UC Adj'!P28</f>
        <v>0</v>
      </c>
      <c r="Q29" s="23">
        <f>IF(SUM(N29:P29)=0,0,SUM(N29:P29)/'Sm Comm Cust Fcst'!S30)</f>
        <v>0</v>
      </c>
      <c r="R29" s="137">
        <f t="shared" si="1"/>
        <v>0</v>
      </c>
      <c r="S29" s="23">
        <f t="shared" si="1"/>
        <v>0</v>
      </c>
      <c r="T29" s="23">
        <f t="shared" si="1"/>
        <v>0</v>
      </c>
      <c r="U29" s="45">
        <f>IF(SUM(R29:T29)=0,0,SUM(R29:T29)/'Sm Comm Cust Fcst'!T30)</f>
        <v>0</v>
      </c>
    </row>
    <row r="30" spans="1:21">
      <c r="A30" s="155" t="s">
        <v>21</v>
      </c>
      <c r="B30" s="137">
        <f>'Sm Comm Cust Fcst'!$P31*'Non-Residential TSM UC Adj'!J29</f>
        <v>0</v>
      </c>
      <c r="C30" s="23">
        <f>'Sm Comm Cust Fcst'!$P31*'Non-Residential TSM UC Adj'!K29</f>
        <v>0</v>
      </c>
      <c r="D30" s="23">
        <f>'Sm Comm Cust Fcst'!$P31*'Non-Residential TSM UC Adj'!L29</f>
        <v>0</v>
      </c>
      <c r="E30" s="45">
        <f>IF(SUM(B30:D30)=0,0,SUM(B30:D30)/'Sm Comm Cust Fcst'!P31)</f>
        <v>0</v>
      </c>
      <c r="F30" s="137">
        <f>'Sm Comm Cust Fcst'!$Q31*'Non-Residential TSM UC Adj'!J29</f>
        <v>0</v>
      </c>
      <c r="G30" s="23">
        <f>'Sm Comm Cust Fcst'!$Q31*'Non-Residential TSM UC Adj'!K29</f>
        <v>0</v>
      </c>
      <c r="H30" s="23">
        <f>'Sm Comm Cust Fcst'!$Q31*'Non-Residential TSM UC Adj'!L29</f>
        <v>0</v>
      </c>
      <c r="I30" s="45">
        <f>IF(SUM(F30:H30)=0,0,SUM(F30:H30)/'Sm Comm Cust Fcst'!Q31)</f>
        <v>0</v>
      </c>
      <c r="J30" s="137">
        <f>'Sm Comm Cust Fcst'!$R31*'Non-Residential TSM UC Adj'!J29</f>
        <v>0</v>
      </c>
      <c r="K30" s="23">
        <f>'Sm Comm Cust Fcst'!$R31*'Non-Residential TSM UC Adj'!K29</f>
        <v>0</v>
      </c>
      <c r="L30" s="23">
        <f>'Sm Comm Cust Fcst'!$R31*'Non-Residential TSM UC Adj'!L29</f>
        <v>0</v>
      </c>
      <c r="M30" s="45">
        <f>IF(SUM(J30:L30)=0,0,SUM(J30:L30)/'Sm Comm Cust Fcst'!R31)</f>
        <v>0</v>
      </c>
      <c r="N30" s="137">
        <f>'Sm Comm Cust Fcst'!$S31*'Non-Residential TSM UC Adj'!N29</f>
        <v>0</v>
      </c>
      <c r="O30" s="23">
        <f>'Sm Comm Cust Fcst'!$S31*'Non-Residential TSM UC Adj'!O29</f>
        <v>0</v>
      </c>
      <c r="P30" s="23">
        <f>'Sm Comm Cust Fcst'!$S31*'Non-Residential TSM UC Adj'!P29</f>
        <v>0</v>
      </c>
      <c r="Q30" s="23">
        <f>IF(SUM(N30:P30)=0,0,SUM(N30:P30)/'Sm Comm Cust Fcst'!S31)</f>
        <v>0</v>
      </c>
      <c r="R30" s="137">
        <f t="shared" si="1"/>
        <v>0</v>
      </c>
      <c r="S30" s="23">
        <f t="shared" si="1"/>
        <v>0</v>
      </c>
      <c r="T30" s="23">
        <f t="shared" si="1"/>
        <v>0</v>
      </c>
      <c r="U30" s="45">
        <f>IF(SUM(R30:T30)=0,0,SUM(R30:T30)/'Sm Comm Cust Fcst'!T31)</f>
        <v>0</v>
      </c>
    </row>
    <row r="31" spans="1:21">
      <c r="A31" s="155" t="s">
        <v>22</v>
      </c>
      <c r="B31" s="137">
        <f>'Sm Comm Cust Fcst'!$P32*'Non-Residential TSM UC Adj'!J30</f>
        <v>0</v>
      </c>
      <c r="C31" s="23">
        <f>'Sm Comm Cust Fcst'!$P32*'Non-Residential TSM UC Adj'!K30</f>
        <v>0</v>
      </c>
      <c r="D31" s="23">
        <f>'Sm Comm Cust Fcst'!$P32*'Non-Residential TSM UC Adj'!L30</f>
        <v>0</v>
      </c>
      <c r="E31" s="45">
        <f>IF(SUM(B31:D31)=0,0,SUM(B31:D31)/'Sm Comm Cust Fcst'!P32)</f>
        <v>0</v>
      </c>
      <c r="F31" s="137">
        <f>'Sm Comm Cust Fcst'!$Q32*'Non-Residential TSM UC Adj'!J30</f>
        <v>0</v>
      </c>
      <c r="G31" s="23">
        <f>'Sm Comm Cust Fcst'!$Q32*'Non-Residential TSM UC Adj'!K30</f>
        <v>0</v>
      </c>
      <c r="H31" s="23">
        <f>'Sm Comm Cust Fcst'!$Q32*'Non-Residential TSM UC Adj'!L30</f>
        <v>0</v>
      </c>
      <c r="I31" s="45">
        <f>IF(SUM(F31:H31)=0,0,SUM(F31:H31)/'Sm Comm Cust Fcst'!Q32)</f>
        <v>0</v>
      </c>
      <c r="J31" s="137">
        <f>'Sm Comm Cust Fcst'!$R32*'Non-Residential TSM UC Adj'!J30</f>
        <v>0</v>
      </c>
      <c r="K31" s="23">
        <f>'Sm Comm Cust Fcst'!$R32*'Non-Residential TSM UC Adj'!K30</f>
        <v>0</v>
      </c>
      <c r="L31" s="23">
        <f>'Sm Comm Cust Fcst'!$R32*'Non-Residential TSM UC Adj'!L30</f>
        <v>0</v>
      </c>
      <c r="M31" s="45">
        <f>IF(SUM(J31:L31)=0,0,SUM(J31:L31)/'Sm Comm Cust Fcst'!R32)</f>
        <v>0</v>
      </c>
      <c r="N31" s="137">
        <f>'Sm Comm Cust Fcst'!$S32*'Non-Residential TSM UC Adj'!N30</f>
        <v>0</v>
      </c>
      <c r="O31" s="23">
        <f>'Sm Comm Cust Fcst'!$S32*'Non-Residential TSM UC Adj'!O30</f>
        <v>0</v>
      </c>
      <c r="P31" s="23">
        <f>'Sm Comm Cust Fcst'!$S32*'Non-Residential TSM UC Adj'!P30</f>
        <v>0</v>
      </c>
      <c r="Q31" s="23">
        <f>IF(SUM(N31:P31)=0,0,SUM(N31:P31)/'Sm Comm Cust Fcst'!S32)</f>
        <v>0</v>
      </c>
      <c r="R31" s="137">
        <f t="shared" si="1"/>
        <v>0</v>
      </c>
      <c r="S31" s="23">
        <f t="shared" si="1"/>
        <v>0</v>
      </c>
      <c r="T31" s="23">
        <f t="shared" si="1"/>
        <v>0</v>
      </c>
      <c r="U31" s="45">
        <f>IF(SUM(R31:T31)=0,0,SUM(R31:T31)/'Sm Comm Cust Fcst'!T32)</f>
        <v>0</v>
      </c>
    </row>
    <row r="32" spans="1:21">
      <c r="A32" s="153" t="s">
        <v>23</v>
      </c>
      <c r="B32" s="137">
        <f>'Sm Comm Cust Fcst'!$P33*'Non-Residential TSM UC Adj'!J31</f>
        <v>0</v>
      </c>
      <c r="C32" s="23">
        <f>'Sm Comm Cust Fcst'!$P33*'Non-Residential TSM UC Adj'!K31</f>
        <v>0</v>
      </c>
      <c r="D32" s="23">
        <f>'Sm Comm Cust Fcst'!$P33*'Non-Residential TSM UC Adj'!L31</f>
        <v>0</v>
      </c>
      <c r="E32" s="45">
        <f>IF(SUM(B32:D32)=0,0,SUM(B32:D32)/'Sm Comm Cust Fcst'!P33)</f>
        <v>0</v>
      </c>
      <c r="F32" s="137">
        <f>'Sm Comm Cust Fcst'!$Q33*'Non-Residential TSM UC Adj'!J31</f>
        <v>0</v>
      </c>
      <c r="G32" s="23">
        <f>'Sm Comm Cust Fcst'!$Q33*'Non-Residential TSM UC Adj'!K31</f>
        <v>0</v>
      </c>
      <c r="H32" s="23">
        <f>'Sm Comm Cust Fcst'!$Q33*'Non-Residential TSM UC Adj'!L31</f>
        <v>0</v>
      </c>
      <c r="I32" s="45">
        <f>IF(SUM(F32:H32)=0,0,SUM(F32:H32)/'Sm Comm Cust Fcst'!Q33)</f>
        <v>0</v>
      </c>
      <c r="J32" s="137">
        <f>'Sm Comm Cust Fcst'!$R33*'Non-Residential TSM UC Adj'!J31</f>
        <v>0</v>
      </c>
      <c r="K32" s="23">
        <f>'Sm Comm Cust Fcst'!$R33*'Non-Residential TSM UC Adj'!K31</f>
        <v>0</v>
      </c>
      <c r="L32" s="23">
        <f>'Sm Comm Cust Fcst'!$R33*'Non-Residential TSM UC Adj'!L31</f>
        <v>0</v>
      </c>
      <c r="M32" s="45">
        <f>IF(SUM(J32:L32)=0,0,SUM(J32:L32)/'Sm Comm Cust Fcst'!R33)</f>
        <v>0</v>
      </c>
      <c r="N32" s="137">
        <f>'Sm Comm Cust Fcst'!$S33*'Non-Residential TSM UC Adj'!N31</f>
        <v>0</v>
      </c>
      <c r="O32" s="23">
        <f>'Sm Comm Cust Fcst'!$S33*'Non-Residential TSM UC Adj'!O31</f>
        <v>0</v>
      </c>
      <c r="P32" s="23">
        <f>'Sm Comm Cust Fcst'!$S33*'Non-Residential TSM UC Adj'!P31</f>
        <v>0</v>
      </c>
      <c r="Q32" s="23">
        <f>IF(SUM(N32:P32)=0,0,SUM(N32:P32)/'Sm Comm Cust Fcst'!S33)</f>
        <v>0</v>
      </c>
      <c r="R32" s="137">
        <f t="shared" si="1"/>
        <v>0</v>
      </c>
      <c r="S32" s="23">
        <f t="shared" si="1"/>
        <v>0</v>
      </c>
      <c r="T32" s="23">
        <f t="shared" si="1"/>
        <v>0</v>
      </c>
      <c r="U32" s="45">
        <f>IF(SUM(R32:T32)=0,0,SUM(R32:T32)/'Sm Comm Cust Fcst'!T33)</f>
        <v>0</v>
      </c>
    </row>
    <row r="33" spans="1:23">
      <c r="A33" s="153" t="s">
        <v>24</v>
      </c>
      <c r="B33" s="137">
        <f>'Sm Comm Cust Fcst'!$P34*'Non-Residential TSM UC Adj'!J32</f>
        <v>0</v>
      </c>
      <c r="C33" s="23">
        <f>'Sm Comm Cust Fcst'!$P34*'Non-Residential TSM UC Adj'!K32</f>
        <v>0</v>
      </c>
      <c r="D33" s="23">
        <f>'Sm Comm Cust Fcst'!$P34*'Non-Residential TSM UC Adj'!L32</f>
        <v>0</v>
      </c>
      <c r="E33" s="45">
        <f>IF(SUM(B33:D33)=0,0,SUM(B33:D33)/'Sm Comm Cust Fcst'!P34)</f>
        <v>0</v>
      </c>
      <c r="F33" s="137">
        <f>'Sm Comm Cust Fcst'!$Q34*'Non-Residential TSM UC Adj'!J32</f>
        <v>0</v>
      </c>
      <c r="G33" s="23">
        <f>'Sm Comm Cust Fcst'!$Q34*'Non-Residential TSM UC Adj'!K32</f>
        <v>0</v>
      </c>
      <c r="H33" s="23">
        <f>'Sm Comm Cust Fcst'!$Q34*'Non-Residential TSM UC Adj'!L32</f>
        <v>0</v>
      </c>
      <c r="I33" s="45">
        <f>IF(SUM(F33:H33)=0,0,SUM(F33:H33)/'Sm Comm Cust Fcst'!Q34)</f>
        <v>0</v>
      </c>
      <c r="J33" s="137">
        <f>'Sm Comm Cust Fcst'!$R34*'Non-Residential TSM UC Adj'!J32</f>
        <v>0</v>
      </c>
      <c r="K33" s="23">
        <f>'Sm Comm Cust Fcst'!$R34*'Non-Residential TSM UC Adj'!K32</f>
        <v>0</v>
      </c>
      <c r="L33" s="23">
        <f>'Sm Comm Cust Fcst'!$R34*'Non-Residential TSM UC Adj'!L32</f>
        <v>0</v>
      </c>
      <c r="M33" s="45">
        <f>IF(SUM(J33:L33)=0,0,SUM(J33:L33)/'Sm Comm Cust Fcst'!R34)</f>
        <v>0</v>
      </c>
      <c r="N33" s="137">
        <f>'Sm Comm Cust Fcst'!$S34*'Non-Residential TSM UC Adj'!N32</f>
        <v>0</v>
      </c>
      <c r="O33" s="23">
        <f>'Sm Comm Cust Fcst'!$S34*'Non-Residential TSM UC Adj'!O32</f>
        <v>0</v>
      </c>
      <c r="P33" s="23">
        <f>'Sm Comm Cust Fcst'!$S34*'Non-Residential TSM UC Adj'!P32</f>
        <v>0</v>
      </c>
      <c r="Q33" s="23">
        <f>IF(SUM(N33:P33)=0,0,SUM(N33:P33)/'Sm Comm Cust Fcst'!S34)</f>
        <v>0</v>
      </c>
      <c r="R33" s="137">
        <f t="shared" si="1"/>
        <v>0</v>
      </c>
      <c r="S33" s="23">
        <f t="shared" si="1"/>
        <v>0</v>
      </c>
      <c r="T33" s="23">
        <f t="shared" si="1"/>
        <v>0</v>
      </c>
      <c r="U33" s="45">
        <f>IF(SUM(R33:T33)=0,0,SUM(R33:T33)/'Sm Comm Cust Fcst'!T34)</f>
        <v>0</v>
      </c>
    </row>
    <row r="34" spans="1:23">
      <c r="A34" s="153" t="s">
        <v>25</v>
      </c>
      <c r="B34" s="137">
        <f>'Sm Comm Cust Fcst'!$P35*'Non-Residential TSM UC Adj'!J33</f>
        <v>0</v>
      </c>
      <c r="C34" s="23">
        <f>'Sm Comm Cust Fcst'!$P35*'Non-Residential TSM UC Adj'!K33</f>
        <v>0</v>
      </c>
      <c r="D34" s="23">
        <f>'Sm Comm Cust Fcst'!$P35*'Non-Residential TSM UC Adj'!L33</f>
        <v>0</v>
      </c>
      <c r="E34" s="45">
        <f>IF(SUM(B34:D34)=0,0,SUM(B34:D34)/'Sm Comm Cust Fcst'!P35)</f>
        <v>0</v>
      </c>
      <c r="F34" s="137">
        <f>'Sm Comm Cust Fcst'!$Q35*'Non-Residential TSM UC Adj'!J33</f>
        <v>0</v>
      </c>
      <c r="G34" s="23">
        <f>'Sm Comm Cust Fcst'!$Q35*'Non-Residential TSM UC Adj'!K33</f>
        <v>0</v>
      </c>
      <c r="H34" s="23">
        <f>'Sm Comm Cust Fcst'!$Q35*'Non-Residential TSM UC Adj'!L33</f>
        <v>0</v>
      </c>
      <c r="I34" s="45">
        <f>IF(SUM(F34:H34)=0,0,SUM(F34:H34)/'Sm Comm Cust Fcst'!Q35)</f>
        <v>0</v>
      </c>
      <c r="J34" s="137">
        <f>'Sm Comm Cust Fcst'!$R35*'Non-Residential TSM UC Adj'!J33</f>
        <v>0</v>
      </c>
      <c r="K34" s="23">
        <f>'Sm Comm Cust Fcst'!$R35*'Non-Residential TSM UC Adj'!K33</f>
        <v>0</v>
      </c>
      <c r="L34" s="23">
        <f>'Sm Comm Cust Fcst'!$R35*'Non-Residential TSM UC Adj'!L33</f>
        <v>0</v>
      </c>
      <c r="M34" s="45">
        <f>IF(SUM(J34:L34)=0,0,SUM(J34:L34)/'Sm Comm Cust Fcst'!R35)</f>
        <v>0</v>
      </c>
      <c r="N34" s="137">
        <f>'Sm Comm Cust Fcst'!$S35*'Non-Residential TSM UC Adj'!N33</f>
        <v>0</v>
      </c>
      <c r="O34" s="23">
        <f>'Sm Comm Cust Fcst'!$S35*'Non-Residential TSM UC Adj'!O33</f>
        <v>0</v>
      </c>
      <c r="P34" s="23">
        <f>'Sm Comm Cust Fcst'!$S35*'Non-Residential TSM UC Adj'!P33</f>
        <v>0</v>
      </c>
      <c r="Q34" s="23">
        <f>IF(SUM(N34:P34)=0,0,SUM(N34:P34)/'Sm Comm Cust Fcst'!S35)</f>
        <v>0</v>
      </c>
      <c r="R34" s="137">
        <f t="shared" si="1"/>
        <v>0</v>
      </c>
      <c r="S34" s="23">
        <f t="shared" si="1"/>
        <v>0</v>
      </c>
      <c r="T34" s="23">
        <f t="shared" si="1"/>
        <v>0</v>
      </c>
      <c r="U34" s="45">
        <f>IF(SUM(R34:T34)=0,0,SUM(R34:T34)/'Sm Comm Cust Fcst'!T35)</f>
        <v>0</v>
      </c>
    </row>
    <row r="35" spans="1:23">
      <c r="A35" s="153" t="s">
        <v>125</v>
      </c>
      <c r="B35" s="137">
        <f>'Sm Comm Cust Fcst'!$P36*'Non-Residential TSM UC Adj'!J34</f>
        <v>0</v>
      </c>
      <c r="C35" s="23">
        <f>'Sm Comm Cust Fcst'!$P36*'Non-Residential TSM UC Adj'!K34</f>
        <v>0</v>
      </c>
      <c r="D35" s="23">
        <f>'Sm Comm Cust Fcst'!$P36*'Non-Residential TSM UC Adj'!L34</f>
        <v>0</v>
      </c>
      <c r="E35" s="45">
        <f>IF(SUM(B35:D35)=0,0,SUM(B35:D35)/'Sm Comm Cust Fcst'!P36)</f>
        <v>0</v>
      </c>
      <c r="F35" s="137">
        <f>'Sm Comm Cust Fcst'!$Q36*'Non-Residential TSM UC Adj'!J34</f>
        <v>0</v>
      </c>
      <c r="G35" s="23">
        <f>'Sm Comm Cust Fcst'!$Q36*'Non-Residential TSM UC Adj'!K34</f>
        <v>0</v>
      </c>
      <c r="H35" s="23">
        <f>'Sm Comm Cust Fcst'!$Q36*'Non-Residential TSM UC Adj'!L34</f>
        <v>0</v>
      </c>
      <c r="I35" s="45">
        <f>IF(SUM(F35:H35)=0,0,SUM(F35:H35)/'Sm Comm Cust Fcst'!Q36)</f>
        <v>0</v>
      </c>
      <c r="J35" s="137">
        <f>'Sm Comm Cust Fcst'!$R36*'Non-Residential TSM UC Adj'!J34</f>
        <v>0</v>
      </c>
      <c r="K35" s="23">
        <f>'Sm Comm Cust Fcst'!$R36*'Non-Residential TSM UC Adj'!K34</f>
        <v>0</v>
      </c>
      <c r="L35" s="23">
        <f>'Sm Comm Cust Fcst'!$R36*'Non-Residential TSM UC Adj'!L34</f>
        <v>0</v>
      </c>
      <c r="M35" s="45">
        <f>IF(SUM(J35:L35)=0,0,SUM(J35:L35)/'Sm Comm Cust Fcst'!R36)</f>
        <v>0</v>
      </c>
      <c r="N35" s="137">
        <f>'Sm Comm Cust Fcst'!$S36*'Non-Residential TSM UC Adj'!N34</f>
        <v>0</v>
      </c>
      <c r="O35" s="23">
        <f>'Sm Comm Cust Fcst'!$S36*'Non-Residential TSM UC Adj'!O34</f>
        <v>0</v>
      </c>
      <c r="P35" s="23">
        <f>'Sm Comm Cust Fcst'!$S36*'Non-Residential TSM UC Adj'!P34</f>
        <v>0</v>
      </c>
      <c r="Q35" s="23">
        <f>IF(SUM(N35:P35)=0,0,SUM(N35:P35)/'Sm Comm Cust Fcst'!S36)</f>
        <v>0</v>
      </c>
      <c r="R35" s="137">
        <f t="shared" si="1"/>
        <v>0</v>
      </c>
      <c r="S35" s="23">
        <f t="shared" si="1"/>
        <v>0</v>
      </c>
      <c r="T35" s="23">
        <f t="shared" si="1"/>
        <v>0</v>
      </c>
      <c r="U35" s="45">
        <f>IF(SUM(R35:T35)=0,0,SUM(R35:T35)/'Sm Comm Cust Fcst'!T36)</f>
        <v>0</v>
      </c>
    </row>
    <row r="36" spans="1:23">
      <c r="A36" s="153" t="s">
        <v>126</v>
      </c>
      <c r="B36" s="137">
        <f>'Sm Comm Cust Fcst'!$P37*'Non-Residential TSM UC Adj'!J35</f>
        <v>0</v>
      </c>
      <c r="C36" s="23">
        <f>'Sm Comm Cust Fcst'!$P37*'Non-Residential TSM UC Adj'!K35</f>
        <v>0</v>
      </c>
      <c r="D36" s="23">
        <f>'Sm Comm Cust Fcst'!$P37*'Non-Residential TSM UC Adj'!L35</f>
        <v>0</v>
      </c>
      <c r="E36" s="45">
        <f>IF(SUM(B36:D36)=0,0,SUM(B36:D36)/'Sm Comm Cust Fcst'!P37)</f>
        <v>0</v>
      </c>
      <c r="F36" s="137">
        <f>'Sm Comm Cust Fcst'!$Q37*'Non-Residential TSM UC Adj'!J35</f>
        <v>0</v>
      </c>
      <c r="G36" s="23">
        <f>'Sm Comm Cust Fcst'!$Q37*'Non-Residential TSM UC Adj'!K35</f>
        <v>0</v>
      </c>
      <c r="H36" s="23">
        <f>'Sm Comm Cust Fcst'!$Q37*'Non-Residential TSM UC Adj'!L35</f>
        <v>0</v>
      </c>
      <c r="I36" s="45">
        <f>IF(SUM(F36:H36)=0,0,SUM(F36:H36)/'Sm Comm Cust Fcst'!Q37)</f>
        <v>0</v>
      </c>
      <c r="J36" s="137">
        <f>'Sm Comm Cust Fcst'!$R37*'Non-Residential TSM UC Adj'!J35</f>
        <v>0</v>
      </c>
      <c r="K36" s="23">
        <f>'Sm Comm Cust Fcst'!$R37*'Non-Residential TSM UC Adj'!K35</f>
        <v>0</v>
      </c>
      <c r="L36" s="23">
        <f>'Sm Comm Cust Fcst'!$R37*'Non-Residential TSM UC Adj'!L35</f>
        <v>0</v>
      </c>
      <c r="M36" s="45">
        <f>IF(SUM(J36:L36)=0,0,SUM(J36:L36)/'Sm Comm Cust Fcst'!R37)</f>
        <v>0</v>
      </c>
      <c r="N36" s="137">
        <f>'Sm Comm Cust Fcst'!$S37*'Non-Residential TSM UC Adj'!N35</f>
        <v>0</v>
      </c>
      <c r="O36" s="23">
        <f>'Sm Comm Cust Fcst'!$S37*'Non-Residential TSM UC Adj'!O35</f>
        <v>0</v>
      </c>
      <c r="P36" s="23">
        <f>'Sm Comm Cust Fcst'!$S37*'Non-Residential TSM UC Adj'!P35</f>
        <v>0</v>
      </c>
      <c r="Q36" s="23">
        <f>IF(SUM(N36:P36)=0,0,SUM(N36:P36)/'Sm Comm Cust Fcst'!S37)</f>
        <v>0</v>
      </c>
      <c r="R36" s="137">
        <f t="shared" si="1"/>
        <v>0</v>
      </c>
      <c r="S36" s="23">
        <f t="shared" si="1"/>
        <v>0</v>
      </c>
      <c r="T36" s="23">
        <f t="shared" si="1"/>
        <v>0</v>
      </c>
      <c r="U36" s="45">
        <f>IF(SUM(R36:T36)=0,0,SUM(R36:T36)/'Sm Comm Cust Fcst'!T37)</f>
        <v>0</v>
      </c>
    </row>
    <row r="37" spans="1:23">
      <c r="A37" s="155" t="s">
        <v>26</v>
      </c>
      <c r="B37" s="137">
        <f>'Sm Comm Cust Fcst'!$P38*'Non-Residential TSM UC Adj'!J36</f>
        <v>0</v>
      </c>
      <c r="C37" s="23">
        <f>'Sm Comm Cust Fcst'!$P38*'Non-Residential TSM UC Adj'!K36</f>
        <v>0</v>
      </c>
      <c r="D37" s="23">
        <f>'Sm Comm Cust Fcst'!$P38*'Non-Residential TSM UC Adj'!L36</f>
        <v>0</v>
      </c>
      <c r="E37" s="45">
        <f>IF(SUM(B37:D37)=0,0,SUM(B37:D37)/'Sm Comm Cust Fcst'!P38)</f>
        <v>0</v>
      </c>
      <c r="F37" s="137">
        <f>'Sm Comm Cust Fcst'!$Q38*'Non-Residential TSM UC Adj'!J36</f>
        <v>0</v>
      </c>
      <c r="G37" s="23">
        <f>'Sm Comm Cust Fcst'!$Q38*'Non-Residential TSM UC Adj'!K36</f>
        <v>0</v>
      </c>
      <c r="H37" s="23">
        <f>'Sm Comm Cust Fcst'!$Q38*'Non-Residential TSM UC Adj'!L36</f>
        <v>0</v>
      </c>
      <c r="I37" s="45">
        <f>IF(SUM(F37:H37)=0,0,SUM(F37:H37)/'Sm Comm Cust Fcst'!Q38)</f>
        <v>0</v>
      </c>
      <c r="J37" s="137">
        <f>'Sm Comm Cust Fcst'!$R38*'Non-Residential TSM UC Adj'!J36</f>
        <v>0</v>
      </c>
      <c r="K37" s="23">
        <f>'Sm Comm Cust Fcst'!$R38*'Non-Residential TSM UC Adj'!K36</f>
        <v>0</v>
      </c>
      <c r="L37" s="23">
        <f>'Sm Comm Cust Fcst'!$R38*'Non-Residential TSM UC Adj'!L36</f>
        <v>0</v>
      </c>
      <c r="M37" s="45">
        <f>IF(SUM(J37:L37)=0,0,SUM(J37:L37)/'Sm Comm Cust Fcst'!R38)</f>
        <v>0</v>
      </c>
      <c r="N37" s="137">
        <f>'Sm Comm Cust Fcst'!$S38*'Non-Residential TSM UC Adj'!N36</f>
        <v>0</v>
      </c>
      <c r="O37" s="23">
        <f>'Sm Comm Cust Fcst'!$S38*'Non-Residential TSM UC Adj'!O36</f>
        <v>0</v>
      </c>
      <c r="P37" s="23">
        <f>'Sm Comm Cust Fcst'!$S38*'Non-Residential TSM UC Adj'!P36</f>
        <v>0</v>
      </c>
      <c r="Q37" s="23">
        <f>IF(SUM(N37:P37)=0,0,SUM(N37:P37)/'Sm Comm Cust Fcst'!S38)</f>
        <v>0</v>
      </c>
      <c r="R37" s="137">
        <f t="shared" si="1"/>
        <v>0</v>
      </c>
      <c r="S37" s="23">
        <f t="shared" si="1"/>
        <v>0</v>
      </c>
      <c r="T37" s="23">
        <f t="shared" si="1"/>
        <v>0</v>
      </c>
      <c r="U37" s="45">
        <f>IF(SUM(R37:T37)=0,0,SUM(R37:T37)/'Sm Comm Cust Fcst'!T38)</f>
        <v>0</v>
      </c>
    </row>
    <row r="38" spans="1:23">
      <c r="A38" s="155" t="s">
        <v>27</v>
      </c>
      <c r="B38" s="137">
        <f>'Sm Comm Cust Fcst'!$P39*'Non-Residential TSM UC Adj'!J37</f>
        <v>0</v>
      </c>
      <c r="C38" s="23">
        <f>'Sm Comm Cust Fcst'!$P39*'Non-Residential TSM UC Adj'!K37</f>
        <v>0</v>
      </c>
      <c r="D38" s="23">
        <f>'Sm Comm Cust Fcst'!$P39*'Non-Residential TSM UC Adj'!L37</f>
        <v>0</v>
      </c>
      <c r="E38" s="45">
        <f>IF(SUM(B38:D38)=0,0,SUM(B38:D38)/'Sm Comm Cust Fcst'!P39)</f>
        <v>0</v>
      </c>
      <c r="F38" s="137">
        <f>'Sm Comm Cust Fcst'!$Q39*'Non-Residential TSM UC Adj'!J37</f>
        <v>0</v>
      </c>
      <c r="G38" s="23">
        <f>'Sm Comm Cust Fcst'!$Q39*'Non-Residential TSM UC Adj'!K37</f>
        <v>0</v>
      </c>
      <c r="H38" s="23">
        <f>'Sm Comm Cust Fcst'!$Q39*'Non-Residential TSM UC Adj'!L37</f>
        <v>0</v>
      </c>
      <c r="I38" s="45">
        <f>IF(SUM(F38:H38)=0,0,SUM(F38:H38)/'Sm Comm Cust Fcst'!Q39)</f>
        <v>0</v>
      </c>
      <c r="J38" s="137">
        <f>'Sm Comm Cust Fcst'!$R39*'Non-Residential TSM UC Adj'!J37</f>
        <v>0</v>
      </c>
      <c r="K38" s="23">
        <f>'Sm Comm Cust Fcst'!$R39*'Non-Residential TSM UC Adj'!K37</f>
        <v>0</v>
      </c>
      <c r="L38" s="23">
        <f>'Sm Comm Cust Fcst'!$R39*'Non-Residential TSM UC Adj'!L37</f>
        <v>0</v>
      </c>
      <c r="M38" s="45">
        <f>IF(SUM(J38:L38)=0,0,SUM(J38:L38)/'Sm Comm Cust Fcst'!R39)</f>
        <v>0</v>
      </c>
      <c r="N38" s="137">
        <f>'Sm Comm Cust Fcst'!$S39*'Non-Residential TSM UC Adj'!N37</f>
        <v>0</v>
      </c>
      <c r="O38" s="23">
        <f>'Sm Comm Cust Fcst'!$S39*'Non-Residential TSM UC Adj'!O37</f>
        <v>0</v>
      </c>
      <c r="P38" s="23">
        <f>'Sm Comm Cust Fcst'!$S39*'Non-Residential TSM UC Adj'!P37</f>
        <v>0</v>
      </c>
      <c r="Q38" s="23">
        <f>IF(SUM(N38:P38)=0,0,SUM(N38:P38)/'Sm Comm Cust Fcst'!S39)</f>
        <v>0</v>
      </c>
      <c r="R38" s="137">
        <f t="shared" si="1"/>
        <v>0</v>
      </c>
      <c r="S38" s="23">
        <f t="shared" si="1"/>
        <v>0</v>
      </c>
      <c r="T38" s="23">
        <f t="shared" si="1"/>
        <v>0</v>
      </c>
      <c r="U38" s="45">
        <f>IF(SUM(R38:T38)=0,0,SUM(R38:T38)/'Sm Comm Cust Fcst'!T39)</f>
        <v>0</v>
      </c>
    </row>
    <row r="39" spans="1:23" ht="13.5" thickBot="1">
      <c r="A39" s="146"/>
      <c r="B39" s="137"/>
      <c r="C39" s="23"/>
      <c r="D39" s="23"/>
      <c r="E39" s="45"/>
      <c r="F39" s="137"/>
      <c r="G39" s="23"/>
      <c r="H39" s="23"/>
      <c r="I39" s="45"/>
      <c r="J39" s="137"/>
      <c r="K39" s="23"/>
      <c r="L39" s="23"/>
      <c r="M39" s="45"/>
      <c r="N39" s="137"/>
      <c r="O39" s="23"/>
      <c r="P39" s="23"/>
      <c r="Q39" s="23"/>
      <c r="R39" s="137"/>
      <c r="S39" s="23"/>
      <c r="T39" s="23"/>
      <c r="U39" s="45"/>
    </row>
    <row r="40" spans="1:23" ht="13.5" thickBot="1">
      <c r="A40" s="245" t="s">
        <v>2</v>
      </c>
      <c r="B40" s="504">
        <f>IF(SUM(B7:B38)=0,0,SUM(B7:B38)/'Sm Comm Cust Fcst'!$P41)</f>
        <v>2929.9027531412867</v>
      </c>
      <c r="C40" s="507">
        <f>IF(SUM(C7:C38)=0,0,SUM(C7:C38)/'Sm Comm Cust Fcst'!$P41)</f>
        <v>257.4564436320357</v>
      </c>
      <c r="D40" s="507">
        <f>IF(SUM(D7:D38)=0,0,SUM(D7:D38)/'Sm Comm Cust Fcst'!$P41)</f>
        <v>234.29973156037588</v>
      </c>
      <c r="E40" s="507">
        <f>SUM(B40:D40)</f>
        <v>3421.658928333698</v>
      </c>
      <c r="F40" s="503">
        <f>IF(SUM(F7:F38)=0,0,SUM(F7:F38)/'Sm Comm Cust Fcst'!$Q41)</f>
        <v>9167.3575275292314</v>
      </c>
      <c r="G40" s="506">
        <f>IF(SUM(G7:G38)=0,0,SUM(G7:G38)/'Sm Comm Cust Fcst'!$Q41)</f>
        <v>816.90245912714954</v>
      </c>
      <c r="H40" s="506">
        <f>IF(SUM(H7:H38)=0,0,SUM(H7:H38)/'Sm Comm Cust Fcst'!$Q41)</f>
        <v>301.76349896014176</v>
      </c>
      <c r="I40" s="508">
        <f>SUM(F40:H40)</f>
        <v>10286.023485616523</v>
      </c>
      <c r="J40" s="503">
        <f>IF(SUM(J7:J38)=0,0,SUM(J7:J38)/'Sm Comm Cust Fcst'!$R41)</f>
        <v>12120.484581031407</v>
      </c>
      <c r="K40" s="506">
        <f>IF(SUM(K7:K38)=0,0,SUM(K7:K38)/'Sm Comm Cust Fcst'!$R41)</f>
        <v>884.12112137086183</v>
      </c>
      <c r="L40" s="506">
        <f>IF(SUM(L7:L38)=0,0,SUM(L7:L38)/'Sm Comm Cust Fcst'!$R41)</f>
        <v>301.76349896014176</v>
      </c>
      <c r="M40" s="508">
        <f>SUM(J40:L40)</f>
        <v>13306.36920136241</v>
      </c>
      <c r="N40" s="503">
        <f>IF(SUM(N7:N38)=0,0,SUM(N7:N38)/'Sm Comm Cust Fcst'!$S41)</f>
        <v>5836.7948491438538</v>
      </c>
      <c r="O40" s="506">
        <f>IF(SUM(O7:O38)=0,0,SUM(O7:O38)/'Sm Comm Cust Fcst'!$S41)</f>
        <v>862.92071113303746</v>
      </c>
      <c r="P40" s="506">
        <f>IF(SUM(P7:P38)=0,0,SUM(P7:P38)/'Sm Comm Cust Fcst'!$S41)</f>
        <v>301.76349896014176</v>
      </c>
      <c r="Q40" s="508">
        <f>SUM(N40:P40)</f>
        <v>7001.4790592370327</v>
      </c>
      <c r="R40" s="503">
        <f>IF(SUM(R7:R38)=0,0,SUM(R7:R38)/'Sm Comm Cust Fcst'!$T41)</f>
        <v>7947.5505047998777</v>
      </c>
      <c r="S40" s="506">
        <f>IF(SUM(S7:S38)=0,0,SUM(S7:S38)/'Sm Comm Cust Fcst'!$T41)</f>
        <v>639.85725509323959</v>
      </c>
      <c r="T40" s="506">
        <f>IF(SUM(T7:T38)=0,0,SUM(T7:T38)/'Sm Comm Cust Fcst'!$T41)</f>
        <v>276.14434678301546</v>
      </c>
      <c r="U40" s="508">
        <f>SUM(R40:T40)</f>
        <v>8863.5521066761339</v>
      </c>
      <c r="W40" s="18"/>
    </row>
    <row r="41" spans="1:23">
      <c r="A41" s="149" t="s">
        <v>103</v>
      </c>
      <c r="B41" s="504">
        <f>IF(SUM(B7:B8)=0,0,SUM(B7:B8)/'Sm Comm Cust Fcst'!$P42)</f>
        <v>485.05080927589324</v>
      </c>
      <c r="C41" s="507">
        <f>IF(SUM(C7:C8)=0,0,SUM(C7:C8)/'Sm Comm Cust Fcst'!$P42)</f>
        <v>112.16712195266035</v>
      </c>
      <c r="D41" s="507">
        <f>IF(SUM(D7:D8)=0,0,SUM(D7:D8)/'Sm Comm Cust Fcst'!$P42)</f>
        <v>234.29973156037588</v>
      </c>
      <c r="E41" s="507">
        <f>SUM(B41:D41)</f>
        <v>831.51766278892956</v>
      </c>
      <c r="F41" s="380">
        <f>IF(SUM(F7:F8)=0,0,SUM(F7:F8)/'Sm Comm Cust Fcst'!$Q42)</f>
        <v>0</v>
      </c>
      <c r="G41" s="109">
        <f>IF(SUM(G7:G8)=0,0,SUM(G7:G8)/'Sm Comm Cust Fcst'!$Q42)</f>
        <v>0</v>
      </c>
      <c r="H41" s="109">
        <f>IF(SUM(H7:H8)=0,0,SUM(H7:H8)/'Sm Comm Cust Fcst'!$Q42)</f>
        <v>0</v>
      </c>
      <c r="I41" s="381">
        <f>SUM(F41:H41)</f>
        <v>0</v>
      </c>
      <c r="J41" s="380">
        <f>IF(SUM(J7:J8)=0,0,SUM(J7:J8)/'Sm Comm Cust Fcst'!$R42)</f>
        <v>0</v>
      </c>
      <c r="K41" s="109">
        <f>IF(SUM(K7:K8)=0,0,SUM(K7:K8)/'Sm Comm Cust Fcst'!$R42)</f>
        <v>0</v>
      </c>
      <c r="L41" s="109">
        <f>IF(SUM(L7:L8)=0,0,SUM(L7:L8)/'Sm Comm Cust Fcst'!$R42)</f>
        <v>0</v>
      </c>
      <c r="M41" s="381">
        <f>SUM(J41:L41)</f>
        <v>0</v>
      </c>
      <c r="N41" s="380">
        <f>IF(SUM(N7:N8)=0,0,SUM(N7:N8)/'Sm Comm Cust Fcst'!$S42)</f>
        <v>0</v>
      </c>
      <c r="O41" s="109">
        <f>IF(SUM(O7:O8)=0,0,SUM(O7:O8)/'Sm Comm Cust Fcst'!$S42)</f>
        <v>0</v>
      </c>
      <c r="P41" s="109">
        <f>IF(SUM(P7:P8)=0,0,SUM(P7:P8)/'Sm Comm Cust Fcst'!$S42)</f>
        <v>0</v>
      </c>
      <c r="Q41" s="381">
        <f>SUM(N41:P41)</f>
        <v>0</v>
      </c>
      <c r="R41" s="109">
        <f>IF(SUM(R7:R8)=0,0,SUM(R7:R8)/'Sm Comm Cust Fcst'!$T42)</f>
        <v>485.05080927589324</v>
      </c>
      <c r="S41" s="109">
        <f>IF(SUM(S7:S8)=0,0,SUM(S7:S8)/'Sm Comm Cust Fcst'!$T42)</f>
        <v>112.16712195266035</v>
      </c>
      <c r="T41" s="109">
        <f>IF(SUM(T7:T8)=0,0,SUM(T7:T8)/'Sm Comm Cust Fcst'!$T42)</f>
        <v>234.29973156037588</v>
      </c>
      <c r="U41" s="381">
        <f>SUM(R41:T41)</f>
        <v>831.51766278892956</v>
      </c>
    </row>
    <row r="42" spans="1:23">
      <c r="A42" s="21" t="s">
        <v>128</v>
      </c>
      <c r="B42" s="380">
        <f>IF(SUM(B9:B11)=0,0,SUM(B9:B11)/'Sm Comm Cust Fcst'!$P43)</f>
        <v>1944.6127899151722</v>
      </c>
      <c r="C42" s="109">
        <f>IF(SUM(C9:C11)=0,0,SUM(C9:C11)/'Sm Comm Cust Fcst'!$P43)</f>
        <v>168.06405805803752</v>
      </c>
      <c r="D42" s="109">
        <f>IF(SUM(D9:D11)=0,0,SUM(D9:D11)/'Sm Comm Cust Fcst'!$P43)</f>
        <v>234.29973156037588</v>
      </c>
      <c r="E42" s="109">
        <f>SUM(B42:D42)</f>
        <v>2346.9765795335857</v>
      </c>
      <c r="F42" s="380">
        <f>IF(SUM(F9:F11)=0,0,SUM(F9:F11)/'Sm Comm Cust Fcst'!$Q43)</f>
        <v>2240.9096178404789</v>
      </c>
      <c r="G42" s="109">
        <f>IF(SUM(G9:G11)=0,0,SUM(G9:G11)/'Sm Comm Cust Fcst'!$Q43)</f>
        <v>645.97752310527994</v>
      </c>
      <c r="H42" s="109">
        <f>IF(SUM(H9:H11)=0,0,SUM(H9:H11)/'Sm Comm Cust Fcst'!$Q43)</f>
        <v>301.76349896014176</v>
      </c>
      <c r="I42" s="381">
        <f>SUM(F42:H42)</f>
        <v>3188.6506399059008</v>
      </c>
      <c r="J42" s="380">
        <f>IF(SUM(J9:J11)=0,0,SUM(J9:J11)/'Sm Comm Cust Fcst'!$R43)</f>
        <v>3470.0949069120038</v>
      </c>
      <c r="K42" s="109">
        <f>IF(SUM(K9:K11)=0,0,SUM(K9:K11)/'Sm Comm Cust Fcst'!$R43)</f>
        <v>698.56981111200901</v>
      </c>
      <c r="L42" s="109">
        <f>IF(SUM(L9:L11)=0,0,SUM(L9:L11)/'Sm Comm Cust Fcst'!$R43)</f>
        <v>301.76349896014176</v>
      </c>
      <c r="M42" s="381">
        <f>SUM(J42:L42)</f>
        <v>4470.4282169841545</v>
      </c>
      <c r="N42" s="380">
        <f>IF(SUM(N9:N11)=0,0,SUM(N9:N11)/'Sm Comm Cust Fcst'!$S43)</f>
        <v>0</v>
      </c>
      <c r="O42" s="109">
        <f>IF(SUM(O9:O11)=0,0,SUM(O9:O11)/'Sm Comm Cust Fcst'!$S43)</f>
        <v>0</v>
      </c>
      <c r="P42" s="109">
        <f>IF(SUM(P9:P11)=0,0,SUM(P9:P11)/'Sm Comm Cust Fcst'!$S43)</f>
        <v>0</v>
      </c>
      <c r="Q42" s="381">
        <f>SUM(N42:P42)</f>
        <v>0</v>
      </c>
      <c r="R42" s="109">
        <f>IF(SUM(R9:R11)=0,0,SUM(R9:R11)/'Sm Comm Cust Fcst'!$T43)</f>
        <v>2435.4237279913127</v>
      </c>
      <c r="S42" s="109">
        <f>IF(SUM(S9:S11)=0,0,SUM(S9:S11)/'Sm Comm Cust Fcst'!$T43)</f>
        <v>369.98916024513233</v>
      </c>
      <c r="T42" s="109">
        <f>IF(SUM(T9:T11)=0,0,SUM(T9:T11)/'Sm Comm Cust Fcst'!$T43)</f>
        <v>260.53564110472928</v>
      </c>
      <c r="U42" s="381">
        <f>SUM(R42:T42)</f>
        <v>3065.948529341174</v>
      </c>
    </row>
    <row r="43" spans="1:23">
      <c r="A43" s="21" t="s">
        <v>129</v>
      </c>
      <c r="B43" s="380">
        <f>IF(SUM(B12:B13)=0,0,SUM(B12:B13)/'Sm Comm Cust Fcst'!$P44)</f>
        <v>3758.7866109290217</v>
      </c>
      <c r="C43" s="109">
        <f>IF(SUM(C12:C13)=0,0,SUM(C12:C13)/'Sm Comm Cust Fcst'!$P44)</f>
        <v>326.09931356535247</v>
      </c>
      <c r="D43" s="109">
        <f>IF(SUM(D12:D13)=0,0,SUM(D12:D13)/'Sm Comm Cust Fcst'!$P44)</f>
        <v>234.2997315603759</v>
      </c>
      <c r="E43" s="109">
        <f>SUM(B43:D43)</f>
        <v>4319.1856560547503</v>
      </c>
      <c r="F43" s="380">
        <f>IF(SUM(F12:F13)=0,0,SUM(F12:F13)/'Sm Comm Cust Fcst'!$Q44)</f>
        <v>11764.775493662513</v>
      </c>
      <c r="G43" s="109">
        <f>IF(SUM(G12:G13)=0,0,SUM(G12:G13)/'Sm Comm Cust Fcst'!$Q44)</f>
        <v>880.99931013535058</v>
      </c>
      <c r="H43" s="109">
        <f>IF(SUM(H12:H13)=0,0,SUM(H12:H13)/'Sm Comm Cust Fcst'!$Q44)</f>
        <v>301.76349896014176</v>
      </c>
      <c r="I43" s="381">
        <f>SUM(F43:H43)</f>
        <v>12947.538302758005</v>
      </c>
      <c r="J43" s="380">
        <f>IF(SUM(J12:J13)=0,0,SUM(J12:J13)/'Sm Comm Cust Fcst'!$R44)</f>
        <v>13587.634995583421</v>
      </c>
      <c r="K43" s="109">
        <f>IF(SUM(K12:K13)=0,0,SUM(K12:K13)/'Sm Comm Cust Fcst'!$R44)</f>
        <v>907.68676580543195</v>
      </c>
      <c r="L43" s="109">
        <f>IF(SUM(L12:L13)=0,0,SUM(L12:L13)/'Sm Comm Cust Fcst'!$R44)</f>
        <v>301.76349896014176</v>
      </c>
      <c r="M43" s="381">
        <f>SUM(J43:L43)</f>
        <v>14797.085260348995</v>
      </c>
      <c r="N43" s="380">
        <f>IF(SUM(N12:N13)=0,0,SUM(N12:N13)/'Sm Comm Cust Fcst'!$S44)</f>
        <v>5836.7948491438538</v>
      </c>
      <c r="O43" s="109">
        <f>IF(SUM(O12:O13)=0,0,SUM(O12:O13)/'Sm Comm Cust Fcst'!$S44)</f>
        <v>862.92071113303746</v>
      </c>
      <c r="P43" s="109">
        <f>IF(SUM(P12:P13)=0,0,SUM(P12:P13)/'Sm Comm Cust Fcst'!$S44)</f>
        <v>301.76349896014176</v>
      </c>
      <c r="Q43" s="381">
        <f>SUM(N43:P43)</f>
        <v>7001.4790592370327</v>
      </c>
      <c r="R43" s="109">
        <f>IF(SUM(R12:R13)=0,0,SUM(R12:R13)/'Sm Comm Cust Fcst'!$T44)</f>
        <v>9760.4938834177774</v>
      </c>
      <c r="S43" s="109">
        <f>IF(SUM(S12:S13)=0,0,SUM(S12:S13)/'Sm Comm Cust Fcst'!$T44)</f>
        <v>728.82021385770167</v>
      </c>
      <c r="T43" s="109">
        <f>IF(SUM(T12:T13)=0,0,SUM(T12:T13)/'Sm Comm Cust Fcst'!$T44)</f>
        <v>281.75305947716032</v>
      </c>
      <c r="U43" s="381">
        <f>SUM(R43:T43)</f>
        <v>10771.067156752639</v>
      </c>
    </row>
    <row r="44" spans="1:23" ht="13.5" thickBot="1">
      <c r="A44" s="323" t="s">
        <v>130</v>
      </c>
      <c r="B44" s="505">
        <f>IF(SUM(B14:B38)=0,0,SUM(B14:B38)/'Sm Comm Cust Fcst'!$P45)</f>
        <v>0</v>
      </c>
      <c r="C44" s="414">
        <f>IF(SUM(C14:C38)=0,0,SUM(C14:C38)/'Sm Comm Cust Fcst'!$P45)</f>
        <v>0</v>
      </c>
      <c r="D44" s="414">
        <f>IF(SUM(D14:D38)=0,0,SUM(D14:D38)/'Sm Comm Cust Fcst'!$P45)</f>
        <v>0</v>
      </c>
      <c r="E44" s="414">
        <f>SUM(B44:D44)</f>
        <v>0</v>
      </c>
      <c r="F44" s="505">
        <f>IF(SUM(F14:F38)=0,0,SUM(F14:F38)/'Sm Comm Cust Fcst'!$Q45)</f>
        <v>0</v>
      </c>
      <c r="G44" s="414">
        <f>IF(SUM(G14:G38)=0,0,SUM(G14:G38)/'Sm Comm Cust Fcst'!$Q45)</f>
        <v>0</v>
      </c>
      <c r="H44" s="414">
        <f>IF(SUM(H14:H38)=0,0,SUM(H14:H38)/'Sm Comm Cust Fcst'!$Q45)</f>
        <v>0</v>
      </c>
      <c r="I44" s="510">
        <f>SUM(F44:H44)</f>
        <v>0</v>
      </c>
      <c r="J44" s="505">
        <f>IF(SUM(J14:J38)=0,0,SUM(J14:J38)/'Sm Comm Cust Fcst'!$R45)</f>
        <v>14844.294879568015</v>
      </c>
      <c r="K44" s="414">
        <f>IF(SUM(K14:K38)=0,0,SUM(K14:K38)/'Sm Comm Cust Fcst'!$R45)</f>
        <v>1440.5499348403266</v>
      </c>
      <c r="L44" s="414">
        <f>IF(SUM(L14:L38)=0,0,SUM(L14:L38)/'Sm Comm Cust Fcst'!$R45)</f>
        <v>301.76349896014176</v>
      </c>
      <c r="M44" s="510">
        <f>SUM(J44:L44)</f>
        <v>16586.608313368484</v>
      </c>
      <c r="N44" s="505">
        <f>IF(SUM(N14:N38)=0,0,SUM(N14:N38)/'Sm Comm Cust Fcst'!$S45)</f>
        <v>0</v>
      </c>
      <c r="O44" s="414">
        <f>IF(SUM(O14:O38)=0,0,SUM(O14:O38)/'Sm Comm Cust Fcst'!$S45)</f>
        <v>0</v>
      </c>
      <c r="P44" s="414">
        <f>IF(SUM(P14:P38)=0,0,SUM(P14:P38)/'Sm Comm Cust Fcst'!$S45)</f>
        <v>0</v>
      </c>
      <c r="Q44" s="510">
        <f>SUM(N44:P44)</f>
        <v>0</v>
      </c>
      <c r="R44" s="414">
        <f>IF(SUM(R14:R38)=0,0,SUM(R14:R38)/'Sm Comm Cust Fcst'!$T45)</f>
        <v>14844.294879568015</v>
      </c>
      <c r="S44" s="414">
        <f>IF(SUM(S14:S38)=0,0,SUM(S14:S38)/'Sm Comm Cust Fcst'!$T45)</f>
        <v>1440.5499348403266</v>
      </c>
      <c r="T44" s="414">
        <f>IF(SUM(T14:T38)=0,0,SUM(T14:T38)/'Sm Comm Cust Fcst'!$T45)</f>
        <v>301.76349896014176</v>
      </c>
      <c r="U44" s="510">
        <f>SUM(R44:T44)</f>
        <v>16586.608313368484</v>
      </c>
    </row>
    <row r="45" spans="1:23">
      <c r="A45" s="55"/>
      <c r="C45" s="12"/>
      <c r="D45" s="12"/>
      <c r="G45" s="12"/>
      <c r="H45" s="12"/>
      <c r="K45" s="12"/>
      <c r="L45" s="12"/>
      <c r="O45" s="12"/>
      <c r="P45" s="12"/>
      <c r="S45" s="12"/>
      <c r="T45" s="12"/>
    </row>
    <row r="46" spans="1:23">
      <c r="A46" s="340" t="s">
        <v>102</v>
      </c>
      <c r="B46" s="18"/>
      <c r="C46" s="18"/>
      <c r="D46" s="18"/>
      <c r="E46" s="108">
        <f>IF(SUM(B7:D38)=0,0,SUM(B7:D38)/'Sm Comm Cust Fcst'!$P41)-E40</f>
        <v>0</v>
      </c>
      <c r="F46" s="18"/>
      <c r="G46" s="18"/>
      <c r="H46" s="18"/>
      <c r="I46" s="108">
        <f>IF(SUM(F7:H38)=0,0,SUM(F7:H38)/'Sm Comm Cust Fcst'!$Q41)-I40</f>
        <v>0</v>
      </c>
      <c r="J46" s="18"/>
      <c r="K46" s="18"/>
      <c r="L46" s="18"/>
      <c r="M46" s="108">
        <f>IF(SUM(J7:L38)=0,0,SUM(J7:L38)/'Sm Comm Cust Fcst'!$R41)-M40</f>
        <v>0</v>
      </c>
      <c r="N46" s="18"/>
      <c r="O46" s="18"/>
      <c r="P46" s="18"/>
      <c r="Q46" s="108">
        <f>IF(SUM(N7:P38)=0,0,SUM(N7:P38)/'Sm Comm Cust Fcst'!$S41)-Q40</f>
        <v>0</v>
      </c>
      <c r="R46" s="18"/>
      <c r="S46" s="18"/>
      <c r="T46" s="18"/>
      <c r="U46" s="108">
        <f>IF(SUM(R7:T38)=0,0,SUM(R7:T38)/'Sm Comm Cust Fcst'!$T41)-U40</f>
        <v>0</v>
      </c>
    </row>
    <row r="47" spans="1:23">
      <c r="E47" s="108">
        <f>IF(SUM(B7:D8)=0,0,SUM(B7:D8)/'Sm Comm Cust Fcst'!$P42)-E41</f>
        <v>0</v>
      </c>
      <c r="I47" s="108">
        <f>IF(SUM(F7:H8)=0,0,SUM(F7:H8)/'Sm Comm Cust Fcst'!$Q42)-I41</f>
        <v>0</v>
      </c>
      <c r="M47" s="108">
        <f>IF(SUM(J7:L8)=0,0,SUM(J7:L8)/'Sm Comm Cust Fcst'!$R42)-M41</f>
        <v>0</v>
      </c>
      <c r="Q47" s="108">
        <f>IF(SUM(N7:P8)=0,0,SUM(N7:P8)/'Sm Comm Cust Fcst'!$S42)-Q41</f>
        <v>0</v>
      </c>
      <c r="U47" s="108">
        <f>IF(SUM(R7:T8)=0,0,SUM(R7:T8)/'Sm Comm Cust Fcst'!$T42)-U41</f>
        <v>0</v>
      </c>
    </row>
    <row r="48" spans="1:23">
      <c r="E48" s="108">
        <f>IF(SUM(B9:D11)=0,0,SUM(B9:D11)/'Sm Comm Cust Fcst'!$P43)-E42</f>
        <v>0</v>
      </c>
      <c r="I48" s="108">
        <f>IF(SUM(F9:H11)=0,0,SUM(F9:H11)/'Sm Comm Cust Fcst'!$Q43)-I42</f>
        <v>0</v>
      </c>
      <c r="M48" s="108">
        <f>IF(SUM(J9:L11)=0,0,SUM(J9:L11)/'Sm Comm Cust Fcst'!$R43)-M42</f>
        <v>0</v>
      </c>
      <c r="Q48" s="108">
        <f>IF(SUM(N9:P11)=0,0,SUM(N9:P11)/'Sm Comm Cust Fcst'!$S43)-Q42</f>
        <v>0</v>
      </c>
      <c r="U48" s="108">
        <f>IF(SUM(R9:T11)=0,0,SUM(R9:T11)/'Sm Comm Cust Fcst'!$T43)-U42</f>
        <v>0</v>
      </c>
    </row>
    <row r="49" spans="1:21">
      <c r="E49" s="108">
        <f>IF(SUM(B12:D13)=0,0,SUM(B12:D13)/'Sm Comm Cust Fcst'!$P44)-E43</f>
        <v>0</v>
      </c>
      <c r="I49" s="108">
        <f>IF(SUM(F12:H13)=0,0,SUM(F12:H13)/'Sm Comm Cust Fcst'!$Q44)-I43</f>
        <v>0</v>
      </c>
      <c r="M49" s="108">
        <f>IF(SUM(J12:L13)=0,0,SUM(J12:L13)/'Sm Comm Cust Fcst'!$R44)-M43</f>
        <v>0</v>
      </c>
      <c r="Q49" s="108">
        <f>IF(SUM(N12:P13)=0,0,SUM(N12:P13)/'Sm Comm Cust Fcst'!$S44)-Q43</f>
        <v>0</v>
      </c>
      <c r="U49" s="108">
        <f>IF(SUM(R12:T13)=0,0,SUM(R12:T13)/'Sm Comm Cust Fcst'!$T44)-U43</f>
        <v>0</v>
      </c>
    </row>
    <row r="50" spans="1:21">
      <c r="E50" s="108">
        <f>IF(SUM(B14:D38)=0,0,SUM(B14:D38)/'Sm Comm Cust Fcst'!$P45)-E44</f>
        <v>0</v>
      </c>
      <c r="I50" s="108">
        <f>IF(SUM(F14:H38)=0,0,SUM(F14:H38)/'Sm Comm Cust Fcst'!$Q45)-I44</f>
        <v>0</v>
      </c>
      <c r="M50" s="108">
        <f>IF(SUM(J14:L38)=0,0,SUM(J14:L38)/'Sm Comm Cust Fcst'!$R45)-M44</f>
        <v>0</v>
      </c>
      <c r="Q50" s="108">
        <f>IF(SUM(N14:P38)=0,0,SUM(N14:P38)/'Sm Comm Cust Fcst'!$S45)-Q44</f>
        <v>0</v>
      </c>
      <c r="U50" s="108">
        <f>IF(SUM(R14:T38)=0,0,SUM(R14:T38)/'Sm Comm Cust Fcst'!$T45)-U44</f>
        <v>0</v>
      </c>
    </row>
    <row r="53" spans="1:21">
      <c r="A53" s="19"/>
    </row>
    <row r="65" spans="1:1">
      <c r="A65" s="19"/>
    </row>
  </sheetData>
  <mergeCells count="7">
    <mergeCell ref="A1:Q1"/>
    <mergeCell ref="B2:U2"/>
    <mergeCell ref="B3:E3"/>
    <mergeCell ref="F3:I3"/>
    <mergeCell ref="J3:M3"/>
    <mergeCell ref="N3:Q3"/>
    <mergeCell ref="R3:U3"/>
  </mergeCells>
  <printOptions horizontalCentered="1"/>
  <pageMargins left="0.75" right="0.75" top="1" bottom="1" header="0.5" footer="0.5"/>
  <pageSetup scale="36" orientation="portrait" r:id="rId1"/>
  <headerFooter alignWithMargins="0">
    <oddFooter>&amp;L&amp;F
&amp;A&amp;R&amp;P of &amp;N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Sheet24">
    <tabColor rgb="FF00642D"/>
    <pageSetUpPr fitToPage="1"/>
  </sheetPr>
  <dimension ref="A1:P59"/>
  <sheetViews>
    <sheetView zoomScaleNormal="100" workbookViewId="0">
      <selection activeCell="A26" sqref="A26:A28"/>
    </sheetView>
  </sheetViews>
  <sheetFormatPr defaultRowHeight="12.75"/>
  <cols>
    <col min="1" max="1" width="41.140625" customWidth="1"/>
    <col min="2" max="6" width="11.140625" customWidth="1"/>
    <col min="12" max="12" width="9.140625" bestFit="1" customWidth="1"/>
    <col min="13" max="13" width="9.85546875" bestFit="1" customWidth="1"/>
    <col min="14" max="14" width="10.85546875" bestFit="1" customWidth="1"/>
    <col min="15" max="16" width="10.140625" bestFit="1" customWidth="1"/>
  </cols>
  <sheetData>
    <row r="1" spans="1:16" ht="18.75" thickBot="1">
      <c r="A1" s="826" t="s">
        <v>170</v>
      </c>
      <c r="B1" s="845"/>
      <c r="C1" s="845"/>
      <c r="D1" s="845"/>
      <c r="E1" s="845"/>
      <c r="F1" s="845"/>
    </row>
    <row r="2" spans="1:16" ht="13.5" thickBot="1">
      <c r="A2" s="131"/>
      <c r="B2" s="827" t="s">
        <v>79</v>
      </c>
      <c r="C2" s="828"/>
      <c r="D2" s="828"/>
      <c r="E2" s="828"/>
      <c r="F2" s="828"/>
      <c r="G2" s="828"/>
      <c r="H2" s="828"/>
      <c r="I2" s="828"/>
      <c r="J2" s="828"/>
      <c r="K2" s="828"/>
      <c r="L2" s="828"/>
      <c r="M2" s="828"/>
      <c r="N2" s="828"/>
      <c r="O2" s="828"/>
      <c r="P2" s="829"/>
    </row>
    <row r="3" spans="1:16" ht="13.5" thickBot="1">
      <c r="A3" s="196"/>
      <c r="B3" s="827" t="s">
        <v>0</v>
      </c>
      <c r="C3" s="828"/>
      <c r="D3" s="828"/>
      <c r="E3" s="828"/>
      <c r="F3" s="829"/>
      <c r="G3" s="828" t="s">
        <v>1</v>
      </c>
      <c r="H3" s="828"/>
      <c r="I3" s="828"/>
      <c r="J3" s="828"/>
      <c r="K3" s="829"/>
      <c r="L3" s="827" t="s">
        <v>440</v>
      </c>
      <c r="M3" s="828"/>
      <c r="N3" s="828"/>
      <c r="O3" s="828"/>
      <c r="P3" s="829"/>
    </row>
    <row r="4" spans="1:16" ht="13.5" thickBot="1">
      <c r="A4" s="102" t="s">
        <v>47</v>
      </c>
      <c r="B4" s="616" t="s">
        <v>103</v>
      </c>
      <c r="C4" s="617" t="s">
        <v>128</v>
      </c>
      <c r="D4" s="617" t="s">
        <v>129</v>
      </c>
      <c r="E4" s="617" t="s">
        <v>130</v>
      </c>
      <c r="F4" s="618" t="s">
        <v>2</v>
      </c>
      <c r="G4" s="704" t="s">
        <v>103</v>
      </c>
      <c r="H4" s="702" t="s">
        <v>128</v>
      </c>
      <c r="I4" s="702" t="s">
        <v>129</v>
      </c>
      <c r="J4" s="702" t="s">
        <v>130</v>
      </c>
      <c r="K4" s="703" t="s">
        <v>168</v>
      </c>
      <c r="L4" s="704" t="s">
        <v>103</v>
      </c>
      <c r="M4" s="702" t="s">
        <v>128</v>
      </c>
      <c r="N4" s="702" t="s">
        <v>129</v>
      </c>
      <c r="O4" s="702" t="s">
        <v>130</v>
      </c>
      <c r="P4" s="703" t="s">
        <v>2</v>
      </c>
    </row>
    <row r="5" spans="1:16">
      <c r="A5" s="621"/>
      <c r="B5" s="39"/>
      <c r="C5" s="176"/>
      <c r="D5" s="176"/>
      <c r="E5" s="176"/>
      <c r="F5" s="373"/>
      <c r="G5" s="39"/>
      <c r="H5" s="176"/>
      <c r="I5" s="176"/>
      <c r="J5" s="176"/>
      <c r="K5" s="373"/>
      <c r="L5" s="39"/>
      <c r="M5" s="176"/>
      <c r="N5" s="176"/>
      <c r="O5" s="176"/>
      <c r="P5" s="373"/>
    </row>
    <row r="6" spans="1:16">
      <c r="A6" s="145"/>
      <c r="B6" s="40"/>
      <c r="C6" s="84"/>
      <c r="D6" s="84"/>
      <c r="E6" s="84"/>
      <c r="F6" s="161"/>
      <c r="G6" s="40"/>
      <c r="H6" s="84"/>
      <c r="I6" s="84"/>
      <c r="J6" s="84"/>
      <c r="K6" s="161"/>
      <c r="L6" s="40"/>
      <c r="M6" s="84"/>
      <c r="N6" s="84"/>
      <c r="O6" s="84"/>
      <c r="P6" s="161"/>
    </row>
    <row r="7" spans="1:16">
      <c r="A7" s="145" t="s">
        <v>49</v>
      </c>
      <c r="B7" s="40"/>
      <c r="C7" s="84"/>
      <c r="D7" s="84"/>
      <c r="E7" s="84"/>
      <c r="F7" s="161"/>
      <c r="G7" s="40"/>
      <c r="H7" s="84"/>
      <c r="I7" s="84"/>
      <c r="J7" s="84"/>
      <c r="K7" s="161"/>
      <c r="L7" s="40"/>
      <c r="M7" s="84"/>
      <c r="N7" s="84"/>
      <c r="O7" s="84"/>
      <c r="P7" s="161"/>
    </row>
    <row r="8" spans="1:16">
      <c r="A8" s="517"/>
      <c r="B8" s="41"/>
      <c r="C8" s="85"/>
      <c r="D8" s="85"/>
      <c r="E8" s="85"/>
      <c r="F8" s="162"/>
      <c r="G8" s="41"/>
      <c r="H8" s="85"/>
      <c r="I8" s="85"/>
      <c r="J8" s="85"/>
      <c r="K8" s="162"/>
      <c r="L8" s="41"/>
      <c r="M8" s="85"/>
      <c r="N8" s="85"/>
      <c r="O8" s="85"/>
      <c r="P8" s="162"/>
    </row>
    <row r="9" spans="1:16">
      <c r="A9" s="145" t="s">
        <v>53</v>
      </c>
      <c r="B9" s="139">
        <f>'Sch A-TOU TSM'!$R$41</f>
        <v>485.05080927589324</v>
      </c>
      <c r="C9" s="37">
        <f>'Sch A-TOU TSM'!$R$42</f>
        <v>2435.4237279913127</v>
      </c>
      <c r="D9" s="37">
        <f>'Sch A-TOU TSM'!$R$43</f>
        <v>9760.4938834177774</v>
      </c>
      <c r="E9" s="37">
        <f>'Sch A-TOU TSM'!$R$44</f>
        <v>14844.294879568015</v>
      </c>
      <c r="F9" s="38">
        <f>'Sch A-TOU TSM'!$R$40</f>
        <v>7947.5505047998777</v>
      </c>
      <c r="G9" s="139"/>
      <c r="H9" s="37"/>
      <c r="I9" s="37"/>
      <c r="J9" s="37"/>
      <c r="K9" s="38"/>
      <c r="L9" s="139">
        <f>'Sch A-TOU TSM'!$R$41</f>
        <v>485.05080927589324</v>
      </c>
      <c r="M9" s="37">
        <f>'Sch A-TOU TSM'!$R$42</f>
        <v>2435.4237279913127</v>
      </c>
      <c r="N9" s="37">
        <f>'Sch A-TOU TSM'!$R$43</f>
        <v>9760.4938834177774</v>
      </c>
      <c r="O9" s="37">
        <f>'Sch A-TOU TSM'!$R$44</f>
        <v>14844.294879568015</v>
      </c>
      <c r="P9" s="38">
        <f>'Sch A-TOU TSM'!$R$40</f>
        <v>7947.5505047998777</v>
      </c>
    </row>
    <row r="10" spans="1:16">
      <c r="A10" s="145" t="s">
        <v>51</v>
      </c>
      <c r="B10" s="139">
        <f>'Sch A-TOU TSM'!$S$41</f>
        <v>112.16712195266035</v>
      </c>
      <c r="C10" s="37">
        <f>'Sch A-TOU TSM'!$S$42</f>
        <v>369.98916024513233</v>
      </c>
      <c r="D10" s="37">
        <f>'Sch A-TOU TSM'!$S$43</f>
        <v>728.82021385770167</v>
      </c>
      <c r="E10" s="37">
        <f>'Sch A-TOU TSM'!$S$44</f>
        <v>1440.5499348403266</v>
      </c>
      <c r="F10" s="38">
        <f>'Sch A-TOU TSM'!$S$40</f>
        <v>639.85725509323959</v>
      </c>
      <c r="G10" s="139"/>
      <c r="H10" s="37"/>
      <c r="I10" s="37"/>
      <c r="J10" s="37"/>
      <c r="K10" s="38"/>
      <c r="L10" s="139">
        <f>'Sch A-TOU TSM'!$S$41</f>
        <v>112.16712195266035</v>
      </c>
      <c r="M10" s="37">
        <f>'Sch A-TOU TSM'!$S$42</f>
        <v>369.98916024513233</v>
      </c>
      <c r="N10" s="37">
        <f>'Sch A-TOU TSM'!$S$43</f>
        <v>728.82021385770167</v>
      </c>
      <c r="O10" s="37">
        <f>'Sch A-TOU TSM'!$S$44</f>
        <v>1440.5499348403266</v>
      </c>
      <c r="P10" s="38">
        <f>'Sch A-TOU TSM'!$S$40</f>
        <v>639.85725509323959</v>
      </c>
    </row>
    <row r="11" spans="1:16">
      <c r="A11" s="145" t="s">
        <v>52</v>
      </c>
      <c r="B11" s="139">
        <f>'Sch A-TOU TSM'!$T$41</f>
        <v>234.29973156037588</v>
      </c>
      <c r="C11" s="37">
        <f>'Sch A-TOU TSM'!$T$42</f>
        <v>260.53564110472928</v>
      </c>
      <c r="D11" s="37">
        <f>'Sch A-TOU TSM'!$T$43</f>
        <v>281.75305947716032</v>
      </c>
      <c r="E11" s="37">
        <f>'Sch A-TOU TSM'!$T$44</f>
        <v>301.76349896014176</v>
      </c>
      <c r="F11" s="38">
        <f>'Sch A-TOU TSM'!$T$40</f>
        <v>276.14434678301546</v>
      </c>
      <c r="G11" s="139"/>
      <c r="H11" s="37"/>
      <c r="I11" s="37"/>
      <c r="J11" s="37"/>
      <c r="K11" s="38"/>
      <c r="L11" s="139">
        <f>'Sch A-TOU TSM'!$T$41</f>
        <v>234.29973156037588</v>
      </c>
      <c r="M11" s="37">
        <f>'Sch A-TOU TSM'!$T$42</f>
        <v>260.53564110472928</v>
      </c>
      <c r="N11" s="37">
        <f>'Sch A-TOU TSM'!$T$43</f>
        <v>281.75305947716032</v>
      </c>
      <c r="O11" s="37">
        <f>'Sch A-TOU TSM'!$T$44</f>
        <v>301.76349896014176</v>
      </c>
      <c r="P11" s="38">
        <f>'Sch A-TOU TSM'!$T$40</f>
        <v>276.14434678301546</v>
      </c>
    </row>
    <row r="12" spans="1:16">
      <c r="A12" s="518"/>
      <c r="B12" s="42"/>
      <c r="C12" s="86"/>
      <c r="D12" s="86"/>
      <c r="E12" s="86"/>
      <c r="F12" s="375"/>
      <c r="G12" s="42"/>
      <c r="H12" s="86"/>
      <c r="I12" s="86"/>
      <c r="J12" s="86"/>
      <c r="K12" s="375"/>
      <c r="L12" s="42"/>
      <c r="M12" s="86"/>
      <c r="N12" s="86"/>
      <c r="O12" s="86"/>
      <c r="P12" s="375"/>
    </row>
    <row r="13" spans="1:16">
      <c r="A13" s="145" t="s">
        <v>35</v>
      </c>
      <c r="B13" s="142">
        <f>SUM(B9:B11)</f>
        <v>831.51766278892956</v>
      </c>
      <c r="C13" s="34">
        <f>SUM(C9:C11)</f>
        <v>3065.948529341174</v>
      </c>
      <c r="D13" s="34">
        <f>SUM(D9:D11)</f>
        <v>10771.067156752639</v>
      </c>
      <c r="E13" s="34">
        <f>SUM(E9:E11)</f>
        <v>16586.608313368484</v>
      </c>
      <c r="F13" s="44">
        <f>SUM(F9:F11)</f>
        <v>8863.5521066761339</v>
      </c>
      <c r="G13" s="142"/>
      <c r="H13" s="34"/>
      <c r="I13" s="34"/>
      <c r="J13" s="34"/>
      <c r="K13" s="44"/>
      <c r="L13" s="142">
        <f t="shared" ref="L13:P13" si="0">SUM(L9:L11)</f>
        <v>831.51766278892956</v>
      </c>
      <c r="M13" s="34">
        <f t="shared" si="0"/>
        <v>3065.948529341174</v>
      </c>
      <c r="N13" s="34">
        <f t="shared" ref="N13:O13" si="1">SUM(N9:N11)</f>
        <v>10771.067156752639</v>
      </c>
      <c r="O13" s="34">
        <f t="shared" si="1"/>
        <v>16586.608313368484</v>
      </c>
      <c r="P13" s="44">
        <f t="shared" si="0"/>
        <v>8863.5521066761339</v>
      </c>
    </row>
    <row r="14" spans="1:16">
      <c r="A14" s="518"/>
      <c r="B14" s="42"/>
      <c r="C14" s="86"/>
      <c r="D14" s="86"/>
      <c r="E14" s="86"/>
      <c r="F14" s="375"/>
      <c r="G14" s="42"/>
      <c r="H14" s="86"/>
      <c r="I14" s="86"/>
      <c r="J14" s="86"/>
      <c r="K14" s="375"/>
      <c r="L14" s="42"/>
      <c r="M14" s="86"/>
      <c r="N14" s="86"/>
      <c r="O14" s="86"/>
      <c r="P14" s="375"/>
    </row>
    <row r="15" spans="1:16">
      <c r="A15" s="145" t="s">
        <v>65</v>
      </c>
      <c r="B15" s="142"/>
      <c r="C15" s="34"/>
      <c r="D15" s="34"/>
      <c r="E15" s="34"/>
      <c r="F15" s="44"/>
      <c r="G15" s="142"/>
      <c r="H15" s="34"/>
      <c r="I15" s="34"/>
      <c r="J15" s="34"/>
      <c r="K15" s="44"/>
      <c r="L15" s="142"/>
      <c r="M15" s="34"/>
      <c r="N15" s="34"/>
      <c r="O15" s="34"/>
      <c r="P15" s="44"/>
    </row>
    <row r="16" spans="1:16">
      <c r="A16" s="519">
        <f>Inputs!C3</f>
        <v>2.7723662892949787E-2</v>
      </c>
      <c r="B16" s="142"/>
      <c r="C16" s="34"/>
      <c r="D16" s="34"/>
      <c r="E16" s="34"/>
      <c r="F16" s="44"/>
      <c r="G16" s="142"/>
      <c r="H16" s="34"/>
      <c r="I16" s="34"/>
      <c r="J16" s="34"/>
      <c r="K16" s="44"/>
      <c r="L16" s="142"/>
      <c r="M16" s="34"/>
      <c r="N16" s="34"/>
      <c r="O16" s="34"/>
      <c r="P16" s="44"/>
    </row>
    <row r="17" spans="1:16">
      <c r="A17" s="40" t="s">
        <v>64</v>
      </c>
      <c r="B17" s="142"/>
      <c r="C17" s="34"/>
      <c r="D17" s="34"/>
      <c r="E17" s="34"/>
      <c r="F17" s="44"/>
      <c r="G17" s="142"/>
      <c r="H17" s="34"/>
      <c r="I17" s="34"/>
      <c r="J17" s="34"/>
      <c r="K17" s="44"/>
      <c r="L17" s="142"/>
      <c r="M17" s="34"/>
      <c r="N17" s="34"/>
      <c r="O17" s="34"/>
      <c r="P17" s="44"/>
    </row>
    <row r="18" spans="1:16">
      <c r="A18" s="53">
        <f>Inputs!C4</f>
        <v>1.5023E-2</v>
      </c>
      <c r="B18" s="142"/>
      <c r="C18" s="34"/>
      <c r="D18" s="34"/>
      <c r="E18" s="34"/>
      <c r="F18" s="44"/>
      <c r="G18" s="142"/>
      <c r="H18" s="34"/>
      <c r="I18" s="34"/>
      <c r="J18" s="34"/>
      <c r="K18" s="44"/>
      <c r="L18" s="142"/>
      <c r="M18" s="34"/>
      <c r="N18" s="34"/>
      <c r="O18" s="34"/>
      <c r="P18" s="44"/>
    </row>
    <row r="19" spans="1:16">
      <c r="A19" s="519"/>
      <c r="B19" s="142"/>
      <c r="C19" s="34"/>
      <c r="D19" s="34"/>
      <c r="E19" s="34"/>
      <c r="F19" s="44"/>
      <c r="G19" s="142"/>
      <c r="H19" s="34"/>
      <c r="I19" s="34"/>
      <c r="J19" s="34"/>
      <c r="K19" s="44"/>
      <c r="L19" s="142"/>
      <c r="M19" s="34"/>
      <c r="N19" s="34"/>
      <c r="O19" s="34"/>
      <c r="P19" s="44"/>
    </row>
    <row r="20" spans="1:16">
      <c r="A20" s="520" t="s">
        <v>111</v>
      </c>
      <c r="B20" s="142">
        <f>(B9*(1+$A$16)*(1+$A$18))</f>
        <v>505.98713277265495</v>
      </c>
      <c r="C20" s="34">
        <f t="shared" ref="C20:F20" si="2">(C9*(1+$A$16)*(1+$A$18))</f>
        <v>2540.5443010237213</v>
      </c>
      <c r="D20" s="34">
        <f t="shared" si="2"/>
        <v>10181.787598475092</v>
      </c>
      <c r="E20" s="34">
        <f t="shared" si="2"/>
        <v>15485.021487454545</v>
      </c>
      <c r="F20" s="34">
        <f t="shared" si="2"/>
        <v>8290.5918629284006</v>
      </c>
      <c r="G20" s="142"/>
      <c r="H20" s="34"/>
      <c r="I20" s="34"/>
      <c r="J20" s="34"/>
      <c r="K20" s="44"/>
      <c r="L20" s="142">
        <f>(L9*(1+$A$16)*(1+$A$18))</f>
        <v>505.98713277265495</v>
      </c>
      <c r="M20" s="34">
        <f t="shared" ref="M20:P20" si="3">(M9*(1+$A$16)*(1+$A$18))</f>
        <v>2540.5443010237213</v>
      </c>
      <c r="N20" s="34">
        <f t="shared" si="3"/>
        <v>10181.787598475092</v>
      </c>
      <c r="O20" s="34">
        <f t="shared" si="3"/>
        <v>15485.021487454545</v>
      </c>
      <c r="P20" s="44">
        <f t="shared" si="3"/>
        <v>8290.5918629284006</v>
      </c>
    </row>
    <row r="21" spans="1:16">
      <c r="A21" s="520" t="s">
        <v>51</v>
      </c>
      <c r="B21" s="142">
        <f t="shared" ref="B21:F22" si="4">(B10*(1+$A$16)*(1+$A$18))</f>
        <v>117.00860887731341</v>
      </c>
      <c r="C21" s="34">
        <f t="shared" si="4"/>
        <v>385.9590598949261</v>
      </c>
      <c r="D21" s="34">
        <f t="shared" si="4"/>
        <v>760.27839406583894</v>
      </c>
      <c r="E21" s="34">
        <f t="shared" si="4"/>
        <v>1502.7286156553944</v>
      </c>
      <c r="F21" s="34">
        <f t="shared" si="4"/>
        <v>667.47551328021302</v>
      </c>
      <c r="G21" s="142"/>
      <c r="H21" s="34"/>
      <c r="I21" s="34"/>
      <c r="J21" s="34"/>
      <c r="K21" s="44"/>
      <c r="L21" s="142">
        <f t="shared" ref="L21:P21" si="5">(L10*(1+$A$16)*(1+$A$18))</f>
        <v>117.00860887731341</v>
      </c>
      <c r="M21" s="34">
        <f t="shared" si="5"/>
        <v>385.9590598949261</v>
      </c>
      <c r="N21" s="34">
        <f t="shared" si="5"/>
        <v>760.27839406583894</v>
      </c>
      <c r="O21" s="34">
        <f t="shared" si="5"/>
        <v>1502.7286156553944</v>
      </c>
      <c r="P21" s="44">
        <f t="shared" si="5"/>
        <v>667.47551328021302</v>
      </c>
    </row>
    <row r="22" spans="1:16">
      <c r="A22" s="520" t="s">
        <v>52</v>
      </c>
      <c r="B22" s="142">
        <f t="shared" si="4"/>
        <v>244.41284730277701</v>
      </c>
      <c r="C22" s="34">
        <f t="shared" si="4"/>
        <v>271.78118148996805</v>
      </c>
      <c r="D22" s="34">
        <f t="shared" si="4"/>
        <v>293.91441059050504</v>
      </c>
      <c r="E22" s="34">
        <f t="shared" si="4"/>
        <v>314.78856378412542</v>
      </c>
      <c r="F22" s="34">
        <f t="shared" si="4"/>
        <v>288.06360815829686</v>
      </c>
      <c r="G22" s="142"/>
      <c r="H22" s="34"/>
      <c r="I22" s="34"/>
      <c r="J22" s="34"/>
      <c r="K22" s="44"/>
      <c r="L22" s="142">
        <f t="shared" ref="L22:P22" si="6">(L11*(1+$A$16)*(1+$A$18))</f>
        <v>244.41284730277701</v>
      </c>
      <c r="M22" s="34">
        <f t="shared" si="6"/>
        <v>271.78118148996805</v>
      </c>
      <c r="N22" s="34">
        <f t="shared" si="6"/>
        <v>293.91441059050504</v>
      </c>
      <c r="O22" s="34">
        <f t="shared" si="6"/>
        <v>314.78856378412542</v>
      </c>
      <c r="P22" s="44">
        <f t="shared" si="6"/>
        <v>288.06360815829686</v>
      </c>
    </row>
    <row r="23" spans="1:16">
      <c r="A23" s="519"/>
      <c r="B23" s="142"/>
      <c r="C23" s="34"/>
      <c r="D23" s="34"/>
      <c r="E23" s="34"/>
      <c r="F23" s="44"/>
      <c r="G23" s="142"/>
      <c r="H23" s="34"/>
      <c r="I23" s="34"/>
      <c r="J23" s="34"/>
      <c r="K23" s="44"/>
      <c r="L23" s="142"/>
      <c r="M23" s="34"/>
      <c r="N23" s="34"/>
      <c r="O23" s="34"/>
      <c r="P23" s="44"/>
    </row>
    <row r="24" spans="1:16">
      <c r="A24" s="145" t="s">
        <v>35</v>
      </c>
      <c r="B24" s="142">
        <f>SUM(B20:B22)</f>
        <v>867.40858895274528</v>
      </c>
      <c r="C24" s="34">
        <f>SUM(C20:C22)</f>
        <v>3198.2845424086154</v>
      </c>
      <c r="D24" s="34">
        <f>SUM(D20:D22)</f>
        <v>11235.980403131436</v>
      </c>
      <c r="E24" s="34">
        <f>SUM(E20:E22)</f>
        <v>17302.538666894063</v>
      </c>
      <c r="F24" s="44">
        <f>SUM(F20:F22)</f>
        <v>9246.1309843669096</v>
      </c>
      <c r="G24" s="142"/>
      <c r="H24" s="34"/>
      <c r="I24" s="34"/>
      <c r="J24" s="34"/>
      <c r="K24" s="44"/>
      <c r="L24" s="142">
        <f t="shared" ref="L24:P24" si="7">SUM(L20:L22)</f>
        <v>867.40858895274528</v>
      </c>
      <c r="M24" s="34">
        <f t="shared" si="7"/>
        <v>3198.2845424086154</v>
      </c>
      <c r="N24" s="34">
        <f t="shared" ref="N24:O24" si="8">SUM(N20:N22)</f>
        <v>11235.980403131436</v>
      </c>
      <c r="O24" s="34">
        <f t="shared" si="8"/>
        <v>17302.538666894063</v>
      </c>
      <c r="P24" s="44">
        <f t="shared" si="7"/>
        <v>9246.1309843669096</v>
      </c>
    </row>
    <row r="25" spans="1:16">
      <c r="A25" s="518"/>
      <c r="B25" s="42"/>
      <c r="C25" s="86"/>
      <c r="D25" s="86"/>
      <c r="E25" s="86"/>
      <c r="F25" s="375"/>
      <c r="G25" s="142"/>
      <c r="H25" s="34"/>
      <c r="I25" s="34"/>
      <c r="J25" s="34"/>
      <c r="K25" s="44"/>
      <c r="L25" s="142"/>
      <c r="M25" s="34"/>
      <c r="N25" s="34"/>
      <c r="O25" s="34"/>
      <c r="P25" s="44"/>
    </row>
    <row r="26" spans="1:16">
      <c r="A26" s="806" t="str">
        <f>'Resid TSM Sum by Rate Schedule'!A25</f>
        <v>Annualized Transformer Cost at 8.05%</v>
      </c>
      <c r="B26" s="147">
        <f>B20*Inputs!$C$5</f>
        <v>40.721167704718745</v>
      </c>
      <c r="C26" s="97">
        <f>C20*Inputs!$C$5</f>
        <v>204.45960745356999</v>
      </c>
      <c r="D26" s="97">
        <f>D20*Inputs!$C$5</f>
        <v>819.41664812575402</v>
      </c>
      <c r="E26" s="97">
        <f>E20*Inputs!$C$5</f>
        <v>1246.2138186133093</v>
      </c>
      <c r="F26" s="99">
        <f>F20*Inputs!$C$5</f>
        <v>667.21574473984151</v>
      </c>
      <c r="G26" s="147"/>
      <c r="H26" s="97"/>
      <c r="I26" s="97"/>
      <c r="J26" s="97"/>
      <c r="K26" s="99"/>
      <c r="L26" s="147">
        <f>L20*Inputs!$C$5</f>
        <v>40.721167704718745</v>
      </c>
      <c r="M26" s="97">
        <f>M20*Inputs!$C$5</f>
        <v>204.45960745356999</v>
      </c>
      <c r="N26" s="97">
        <f>N20*Inputs!$C$5</f>
        <v>819.41664812575402</v>
      </c>
      <c r="O26" s="97">
        <f>O20*Inputs!$C$5</f>
        <v>1246.2138186133093</v>
      </c>
      <c r="P26" s="99">
        <f>P20*Inputs!$C$5</f>
        <v>667.21574473984151</v>
      </c>
    </row>
    <row r="27" spans="1:16">
      <c r="A27" s="806" t="str">
        <f>'Resid TSM Sum by Rate Schedule'!A26</f>
        <v>Annualized Services Cost at 7.08%</v>
      </c>
      <c r="B27" s="147">
        <f>B21*Inputs!$C$6</f>
        <v>8.2812913069908429</v>
      </c>
      <c r="C27" s="97">
        <f>C21*Inputs!$C$6</f>
        <v>27.316275599118953</v>
      </c>
      <c r="D27" s="97">
        <f>D21*Inputs!$C$6</f>
        <v>53.808748912415517</v>
      </c>
      <c r="E27" s="97">
        <f>E21*Inputs!$C$6</f>
        <v>106.35570784917049</v>
      </c>
      <c r="F27" s="99">
        <f>F21*Inputs!$C$6</f>
        <v>47.240619462047185</v>
      </c>
      <c r="G27" s="147"/>
      <c r="H27" s="97"/>
      <c r="I27" s="97"/>
      <c r="J27" s="97"/>
      <c r="K27" s="99"/>
      <c r="L27" s="147">
        <f>L21*Inputs!$C$6</f>
        <v>8.2812913069908429</v>
      </c>
      <c r="M27" s="97">
        <f>M21*Inputs!$C$6</f>
        <v>27.316275599118953</v>
      </c>
      <c r="N27" s="97">
        <f>N21*Inputs!$C$6</f>
        <v>53.808748912415517</v>
      </c>
      <c r="O27" s="97">
        <f>O21*Inputs!$C$6</f>
        <v>106.35570784917049</v>
      </c>
      <c r="P27" s="99">
        <f>P21*Inputs!$C$6</f>
        <v>47.240619462047185</v>
      </c>
    </row>
    <row r="28" spans="1:16" ht="15">
      <c r="A28" s="806" t="str">
        <f>'Resid TSM Sum by Rate Schedule'!A27</f>
        <v>Annualized Meter Cost at 10.78%</v>
      </c>
      <c r="B28" s="628">
        <f>B22*Inputs!$C$7</f>
        <v>26.339504728486137</v>
      </c>
      <c r="C28" s="627">
        <f>C22*Inputs!$C$7</f>
        <v>29.288892928367876</v>
      </c>
      <c r="D28" s="627">
        <f>D22*Inputs!$C$7</f>
        <v>31.674112441105155</v>
      </c>
      <c r="E28" s="627">
        <f>E22*Inputs!$C$7</f>
        <v>33.923645813896321</v>
      </c>
      <c r="F28" s="626">
        <f>F22*Inputs!$C$7</f>
        <v>31.043592237158272</v>
      </c>
      <c r="G28" s="628"/>
      <c r="H28" s="627"/>
      <c r="I28" s="627"/>
      <c r="J28" s="627"/>
      <c r="K28" s="626"/>
      <c r="L28" s="628">
        <f>L22*Inputs!$C$7</f>
        <v>26.339504728486137</v>
      </c>
      <c r="M28" s="627">
        <f>M22*Inputs!$C$7</f>
        <v>29.288892928367876</v>
      </c>
      <c r="N28" s="627">
        <f>N22*Inputs!$C$7</f>
        <v>31.674112441105155</v>
      </c>
      <c r="O28" s="627">
        <f>O22*Inputs!$C$7</f>
        <v>33.923645813896321</v>
      </c>
      <c r="P28" s="626">
        <f>P22*Inputs!$C$7</f>
        <v>31.043592237158272</v>
      </c>
    </row>
    <row r="29" spans="1:16">
      <c r="A29" s="621" t="s">
        <v>380</v>
      </c>
      <c r="B29" s="147">
        <f>SUM(B26:B28)</f>
        <v>75.341963740195723</v>
      </c>
      <c r="C29" s="97">
        <f>SUM(C26:C28)</f>
        <v>261.06477598105681</v>
      </c>
      <c r="D29" s="97">
        <f>SUM(D26:D28)</f>
        <v>904.89950947927468</v>
      </c>
      <c r="E29" s="97">
        <f>SUM(E26:E28)</f>
        <v>1386.4931722763763</v>
      </c>
      <c r="F29" s="99">
        <f>SUM(F26:F28)</f>
        <v>745.49995643904697</v>
      </c>
      <c r="G29" s="147"/>
      <c r="H29" s="97"/>
      <c r="I29" s="97"/>
      <c r="J29" s="97"/>
      <c r="K29" s="99"/>
      <c r="L29" s="147">
        <f t="shared" ref="L29:P29" si="9">SUM(L26:L28)</f>
        <v>75.341963740195723</v>
      </c>
      <c r="M29" s="97">
        <f t="shared" si="9"/>
        <v>261.06477598105681</v>
      </c>
      <c r="N29" s="97">
        <f t="shared" ref="N29:O29" si="10">SUM(N26:N28)</f>
        <v>904.89950947927468</v>
      </c>
      <c r="O29" s="97">
        <f t="shared" si="10"/>
        <v>1386.4931722763763</v>
      </c>
      <c r="P29" s="99">
        <f t="shared" si="9"/>
        <v>745.49995643904697</v>
      </c>
    </row>
    <row r="30" spans="1:16">
      <c r="A30" s="519"/>
      <c r="B30" s="53"/>
      <c r="C30" s="87"/>
      <c r="D30" s="87"/>
      <c r="E30" s="87"/>
      <c r="F30" s="376"/>
      <c r="G30" s="53"/>
      <c r="H30" s="87"/>
      <c r="I30" s="87"/>
      <c r="J30" s="87"/>
      <c r="K30" s="376"/>
      <c r="L30" s="53"/>
      <c r="M30" s="87"/>
      <c r="N30" s="87"/>
      <c r="O30" s="87"/>
      <c r="P30" s="376"/>
    </row>
    <row r="31" spans="1:16">
      <c r="A31" s="145" t="s">
        <v>50</v>
      </c>
      <c r="B31" s="178">
        <f>'Distribution O&amp;M Allocations'!$P$20</f>
        <v>90.887240334635536</v>
      </c>
      <c r="C31" s="88">
        <f>'Distribution O&amp;M Allocations'!$P$20</f>
        <v>90.887240334635536</v>
      </c>
      <c r="D31" s="88">
        <f>'Distribution O&amp;M Allocations'!$P$20</f>
        <v>90.887240334635536</v>
      </c>
      <c r="E31" s="88">
        <f>'Distribution O&amp;M Allocations'!$P$20</f>
        <v>90.887240334635536</v>
      </c>
      <c r="F31" s="374">
        <f>'Distribution O&amp;M Allocations'!$P$20</f>
        <v>90.887240334635536</v>
      </c>
      <c r="G31" s="178"/>
      <c r="H31" s="88"/>
      <c r="I31" s="88"/>
      <c r="J31" s="88"/>
      <c r="K31" s="374"/>
      <c r="L31" s="178">
        <f>'Distribution O&amp;M Allocations'!$P$20</f>
        <v>90.887240334635536</v>
      </c>
      <c r="M31" s="88">
        <f>'Distribution O&amp;M Allocations'!$P$20</f>
        <v>90.887240334635536</v>
      </c>
      <c r="N31" s="88">
        <f>'Distribution O&amp;M Allocations'!$P$20</f>
        <v>90.887240334635536</v>
      </c>
      <c r="O31" s="88">
        <f>'Distribution O&amp;M Allocations'!$P$20</f>
        <v>90.887240334635536</v>
      </c>
      <c r="P31" s="374">
        <f>'Distribution O&amp;M Allocations'!$P$20</f>
        <v>90.887240334635536</v>
      </c>
    </row>
    <row r="32" spans="1:16">
      <c r="A32" s="146"/>
      <c r="B32" s="11"/>
      <c r="C32" s="12"/>
      <c r="D32" s="12"/>
      <c r="E32" s="12"/>
      <c r="F32" s="101"/>
      <c r="G32" s="11"/>
      <c r="H32" s="12"/>
      <c r="I32" s="12"/>
      <c r="J32" s="12"/>
      <c r="K32" s="101"/>
      <c r="L32" s="11"/>
      <c r="M32" s="12"/>
      <c r="N32" s="12"/>
      <c r="O32" s="12"/>
      <c r="P32" s="101"/>
    </row>
    <row r="33" spans="1:16">
      <c r="A33" s="145" t="s">
        <v>61</v>
      </c>
      <c r="B33" s="380">
        <f>'Cust Service Cost Allocations'!$P$76</f>
        <v>52.536506967829744</v>
      </c>
      <c r="C33" s="109">
        <f>'Cust Service Cost Allocations'!$P$76</f>
        <v>52.536506967829744</v>
      </c>
      <c r="D33" s="109">
        <f>'Cust Service Cost Allocations'!$P$76</f>
        <v>52.536506967829744</v>
      </c>
      <c r="E33" s="109">
        <f>'Cust Service Cost Allocations'!$P$76</f>
        <v>52.536506967829744</v>
      </c>
      <c r="F33" s="381">
        <f>'Cust Service Cost Allocations'!$P$76</f>
        <v>52.536506967829744</v>
      </c>
      <c r="G33" s="380"/>
      <c r="H33" s="109"/>
      <c r="I33" s="109"/>
      <c r="J33" s="109"/>
      <c r="K33" s="381"/>
      <c r="L33" s="380">
        <f>'Cust Service Cost Allocations'!$P$76</f>
        <v>52.536506967829744</v>
      </c>
      <c r="M33" s="109">
        <f>'Cust Service Cost Allocations'!$P$76</f>
        <v>52.536506967829744</v>
      </c>
      <c r="N33" s="109">
        <f>'Cust Service Cost Allocations'!$P$76</f>
        <v>52.536506967829744</v>
      </c>
      <c r="O33" s="109">
        <f>'Cust Service Cost Allocations'!$P$76</f>
        <v>52.536506967829744</v>
      </c>
      <c r="P33" s="381">
        <f>'Cust Service Cost Allocations'!$P$76</f>
        <v>52.536506967829744</v>
      </c>
    </row>
    <row r="34" spans="1:16">
      <c r="A34" s="146"/>
      <c r="B34" s="11"/>
      <c r="C34" s="12"/>
      <c r="D34" s="12"/>
      <c r="E34" s="12"/>
      <c r="F34" s="101"/>
      <c r="G34" s="11"/>
      <c r="H34" s="12"/>
      <c r="I34" s="12"/>
      <c r="J34" s="12"/>
      <c r="K34" s="101"/>
      <c r="L34" s="11"/>
      <c r="M34" s="12"/>
      <c r="N34" s="12"/>
      <c r="O34" s="12"/>
      <c r="P34" s="101"/>
    </row>
    <row r="35" spans="1:16" ht="13.5" thickBot="1">
      <c r="A35" s="622" t="s">
        <v>98</v>
      </c>
      <c r="B35" s="377">
        <f>B29+B31+B33</f>
        <v>218.76571104266102</v>
      </c>
      <c r="C35" s="378">
        <f>C29+C31+C33</f>
        <v>404.48852328352206</v>
      </c>
      <c r="D35" s="378">
        <f>D29+D31+D33</f>
        <v>1048.3232567817399</v>
      </c>
      <c r="E35" s="378">
        <f>E29+E31+E33</f>
        <v>1529.9169195788418</v>
      </c>
      <c r="F35" s="379">
        <f>F29+F31+F33</f>
        <v>888.92370374151221</v>
      </c>
      <c r="G35" s="377"/>
      <c r="H35" s="378"/>
      <c r="I35" s="378"/>
      <c r="J35" s="378"/>
      <c r="K35" s="379"/>
      <c r="L35" s="377">
        <f t="shared" ref="L35:P35" si="11">L29+L31+L33</f>
        <v>218.76571104266102</v>
      </c>
      <c r="M35" s="378">
        <f t="shared" si="11"/>
        <v>404.48852328352206</v>
      </c>
      <c r="N35" s="378">
        <f t="shared" ref="N35:O35" si="12">N29+N31+N33</f>
        <v>1048.3232567817399</v>
      </c>
      <c r="O35" s="378">
        <f t="shared" si="12"/>
        <v>1529.9169195788418</v>
      </c>
      <c r="P35" s="379">
        <f t="shared" si="11"/>
        <v>888.92370374151221</v>
      </c>
    </row>
    <row r="36" spans="1:16">
      <c r="A36" s="113"/>
      <c r="B36" s="113"/>
      <c r="C36" s="113"/>
      <c r="D36" s="113"/>
      <c r="E36" s="113"/>
      <c r="F36" s="113"/>
    </row>
    <row r="39" spans="1:16">
      <c r="A39" t="s">
        <v>3</v>
      </c>
    </row>
    <row r="47" spans="1:16">
      <c r="A47" s="19"/>
      <c r="B47" s="19"/>
      <c r="C47" s="19"/>
      <c r="D47" s="19"/>
      <c r="E47" s="19"/>
      <c r="F47" s="19"/>
    </row>
    <row r="59" spans="1:6">
      <c r="A59" s="19"/>
      <c r="B59" s="19"/>
      <c r="C59" s="19"/>
      <c r="D59" s="19"/>
      <c r="E59" s="19"/>
      <c r="F59" s="19"/>
    </row>
  </sheetData>
  <mergeCells count="5">
    <mergeCell ref="A1:F1"/>
    <mergeCell ref="B3:F3"/>
    <mergeCell ref="G3:K3"/>
    <mergeCell ref="L3:P3"/>
    <mergeCell ref="B2:P2"/>
  </mergeCells>
  <printOptions horizontalCentered="1"/>
  <pageMargins left="0.75" right="0.75" top="1" bottom="1" header="0.5" footer="0.5"/>
  <pageSetup scale="94" orientation="portrait" r:id="rId1"/>
  <headerFooter alignWithMargins="0">
    <oddFooter>&amp;L&amp;F
&amp;A&amp;R&amp;P of &amp;N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Sheet23">
    <tabColor rgb="FF00642D"/>
    <pageSetUpPr fitToPage="1"/>
  </sheetPr>
  <dimension ref="A1:P61"/>
  <sheetViews>
    <sheetView zoomScaleNormal="100" workbookViewId="0">
      <selection activeCell="A26" sqref="A26:A28"/>
    </sheetView>
  </sheetViews>
  <sheetFormatPr defaultRowHeight="12.75"/>
  <cols>
    <col min="1" max="1" width="41.140625" customWidth="1"/>
    <col min="2" max="6" width="11.140625" customWidth="1"/>
    <col min="9" max="9" width="11.28515625" bestFit="1" customWidth="1"/>
    <col min="10" max="10" width="7.5703125" bestFit="1" customWidth="1"/>
    <col min="12" max="12" width="9.140625" bestFit="1" customWidth="1"/>
    <col min="13" max="13" width="9.85546875" bestFit="1" customWidth="1"/>
    <col min="14" max="14" width="11.28515625" bestFit="1" customWidth="1"/>
    <col min="15" max="15" width="10.140625" bestFit="1" customWidth="1"/>
    <col min="16" max="16" width="9.140625" bestFit="1" customWidth="1"/>
  </cols>
  <sheetData>
    <row r="1" spans="1:16" ht="18.75" thickBot="1">
      <c r="A1" s="826" t="s">
        <v>432</v>
      </c>
      <c r="B1" s="845"/>
      <c r="C1" s="845"/>
      <c r="D1" s="845"/>
      <c r="E1" s="845"/>
      <c r="F1" s="845"/>
    </row>
    <row r="2" spans="1:16" ht="13.5" thickBot="1">
      <c r="A2" s="131"/>
      <c r="B2" s="827" t="s">
        <v>79</v>
      </c>
      <c r="C2" s="828"/>
      <c r="D2" s="828"/>
      <c r="E2" s="828"/>
      <c r="F2" s="828"/>
      <c r="G2" s="828"/>
      <c r="H2" s="828"/>
      <c r="I2" s="828"/>
      <c r="J2" s="828"/>
      <c r="K2" s="828"/>
      <c r="L2" s="828"/>
      <c r="M2" s="828"/>
      <c r="N2" s="828"/>
      <c r="O2" s="828"/>
      <c r="P2" s="829"/>
    </row>
    <row r="3" spans="1:16" ht="13.5" thickBot="1">
      <c r="A3" s="196"/>
      <c r="B3" s="827" t="s">
        <v>0</v>
      </c>
      <c r="C3" s="828"/>
      <c r="D3" s="828"/>
      <c r="E3" s="828"/>
      <c r="F3" s="829"/>
      <c r="G3" s="828" t="s">
        <v>1</v>
      </c>
      <c r="H3" s="828"/>
      <c r="I3" s="828"/>
      <c r="J3" s="828"/>
      <c r="K3" s="829"/>
      <c r="L3" s="827" t="s">
        <v>440</v>
      </c>
      <c r="M3" s="828"/>
      <c r="N3" s="828"/>
      <c r="O3" s="828"/>
      <c r="P3" s="829"/>
    </row>
    <row r="4" spans="1:16" ht="13.5" thickBot="1">
      <c r="A4" s="102" t="s">
        <v>47</v>
      </c>
      <c r="B4" s="616" t="s">
        <v>103</v>
      </c>
      <c r="C4" s="617" t="s">
        <v>128</v>
      </c>
      <c r="D4" s="617" t="s">
        <v>129</v>
      </c>
      <c r="E4" s="617" t="s">
        <v>130</v>
      </c>
      <c r="F4" s="618" t="s">
        <v>2</v>
      </c>
      <c r="G4" s="704" t="s">
        <v>103</v>
      </c>
      <c r="H4" s="702" t="s">
        <v>128</v>
      </c>
      <c r="I4" s="702" t="s">
        <v>129</v>
      </c>
      <c r="J4" s="702" t="s">
        <v>130</v>
      </c>
      <c r="K4" s="703" t="s">
        <v>168</v>
      </c>
      <c r="L4" s="704" t="s">
        <v>103</v>
      </c>
      <c r="M4" s="702" t="s">
        <v>128</v>
      </c>
      <c r="N4" s="702" t="s">
        <v>129</v>
      </c>
      <c r="O4" s="702" t="s">
        <v>130</v>
      </c>
      <c r="P4" s="703" t="s">
        <v>2</v>
      </c>
    </row>
    <row r="5" spans="1:16">
      <c r="A5" s="621"/>
      <c r="B5" s="39"/>
      <c r="C5" s="176"/>
      <c r="D5" s="176"/>
      <c r="E5" s="176"/>
      <c r="F5" s="373"/>
      <c r="G5" s="39"/>
      <c r="H5" s="176"/>
      <c r="I5" s="176"/>
      <c r="J5" s="176"/>
      <c r="K5" s="373"/>
      <c r="L5" s="39"/>
      <c r="M5" s="176"/>
      <c r="N5" s="176"/>
      <c r="O5" s="176"/>
      <c r="P5" s="373"/>
    </row>
    <row r="6" spans="1:16">
      <c r="A6" s="145"/>
      <c r="B6" s="40"/>
      <c r="C6" s="84"/>
      <c r="D6" s="84"/>
      <c r="E6" s="84"/>
      <c r="F6" s="161"/>
      <c r="G6" s="40"/>
      <c r="H6" s="84"/>
      <c r="I6" s="84"/>
      <c r="J6" s="84"/>
      <c r="K6" s="161"/>
      <c r="L6" s="40"/>
      <c r="M6" s="84"/>
      <c r="N6" s="84"/>
      <c r="O6" s="84"/>
      <c r="P6" s="161"/>
    </row>
    <row r="7" spans="1:16">
      <c r="A7" s="145" t="s">
        <v>49</v>
      </c>
      <c r="B7" s="40"/>
      <c r="C7" s="84"/>
      <c r="D7" s="84"/>
      <c r="E7" s="84"/>
      <c r="F7" s="161"/>
      <c r="G7" s="40"/>
      <c r="H7" s="84"/>
      <c r="I7" s="84"/>
      <c r="J7" s="84"/>
      <c r="K7" s="161"/>
      <c r="L7" s="40"/>
      <c r="M7" s="84"/>
      <c r="N7" s="84"/>
      <c r="O7" s="84"/>
      <c r="P7" s="161"/>
    </row>
    <row r="8" spans="1:16">
      <c r="A8" s="517"/>
      <c r="B8" s="41"/>
      <c r="C8" s="85"/>
      <c r="D8" s="85"/>
      <c r="E8" s="85"/>
      <c r="F8" s="162"/>
      <c r="G8" s="41"/>
      <c r="H8" s="85"/>
      <c r="I8" s="85"/>
      <c r="J8" s="85"/>
      <c r="K8" s="162"/>
      <c r="L8" s="41"/>
      <c r="M8" s="85"/>
      <c r="N8" s="85"/>
      <c r="O8" s="85"/>
      <c r="P8" s="162"/>
    </row>
    <row r="9" spans="1:16">
      <c r="A9" s="145" t="s">
        <v>53</v>
      </c>
      <c r="B9" s="139">
        <f>'Sch A-TOU TSM Summary'!B9*Inputs!$C$12</f>
        <v>526.3500064211288</v>
      </c>
      <c r="C9" s="37">
        <f>'Sch A-TOU TSM Summary'!C9*Inputs!$C$12</f>
        <v>2642.7856017394461</v>
      </c>
      <c r="D9" s="37">
        <f>'Sch A-TOU TSM Summary'!D9*Inputs!$C$12</f>
        <v>10591.541999238681</v>
      </c>
      <c r="E9" s="37">
        <f>'Sch A-TOU TSM Summary'!E9*Inputs!$C$12</f>
        <v>16108.198472736925</v>
      </c>
      <c r="F9" s="38">
        <f>'Sch A-TOU TSM Summary'!F9*Inputs!$C$12</f>
        <v>8624.2372535745872</v>
      </c>
      <c r="G9" s="139"/>
      <c r="H9" s="37"/>
      <c r="I9" s="37"/>
      <c r="J9" s="37"/>
      <c r="K9" s="38"/>
      <c r="L9" s="139">
        <f>'Sch A-TOU TSM Summary'!L9*Inputs!$C$12</f>
        <v>526.3500064211288</v>
      </c>
      <c r="M9" s="37">
        <f>'Sch A-TOU TSM Summary'!M9*Inputs!$C$12</f>
        <v>2642.7856017394461</v>
      </c>
      <c r="N9" s="37">
        <f>'Sch A-TOU TSM Summary'!N9*Inputs!$C$12</f>
        <v>10591.541999238681</v>
      </c>
      <c r="O9" s="37">
        <f>'Sch A-TOU TSM Summary'!O9*Inputs!$C$12</f>
        <v>16108.198472736925</v>
      </c>
      <c r="P9" s="38">
        <f>'Sch A-TOU TSM Summary'!P9*Inputs!$C$12</f>
        <v>8624.2372535745872</v>
      </c>
    </row>
    <row r="10" spans="1:16">
      <c r="A10" s="145" t="s">
        <v>51</v>
      </c>
      <c r="B10" s="139">
        <f>'Sch A-TOU TSM Summary'!B10*Inputs!$C$12</f>
        <v>121.71748656219904</v>
      </c>
      <c r="C10" s="37">
        <f>'Sch A-TOU TSM Summary'!C10*Inputs!$C$12</f>
        <v>401.49154098205952</v>
      </c>
      <c r="D10" s="37">
        <f>'Sch A-TOU TSM Summary'!D10*Inputs!$C$12</f>
        <v>790.87492878638341</v>
      </c>
      <c r="E10" s="37">
        <f>'Sch A-TOU TSM Summary'!E10*Inputs!$C$12</f>
        <v>1563.2042106786489</v>
      </c>
      <c r="F10" s="38">
        <f>'Sch A-TOU TSM Summary'!F10*Inputs!$C$12</f>
        <v>694.33730216780134</v>
      </c>
      <c r="G10" s="139"/>
      <c r="H10" s="37"/>
      <c r="I10" s="37"/>
      <c r="J10" s="37"/>
      <c r="K10" s="38"/>
      <c r="L10" s="139">
        <f>'Sch A-TOU TSM Summary'!L10*Inputs!$C$12</f>
        <v>121.71748656219904</v>
      </c>
      <c r="M10" s="37">
        <f>'Sch A-TOU TSM Summary'!M10*Inputs!$C$12</f>
        <v>401.49154098205952</v>
      </c>
      <c r="N10" s="37">
        <f>'Sch A-TOU TSM Summary'!N10*Inputs!$C$12</f>
        <v>790.87492878638341</v>
      </c>
      <c r="O10" s="37">
        <f>'Sch A-TOU TSM Summary'!O10*Inputs!$C$12</f>
        <v>1563.2042106786489</v>
      </c>
      <c r="P10" s="38">
        <f>'Sch A-TOU TSM Summary'!P10*Inputs!$C$12</f>
        <v>694.33730216780134</v>
      </c>
    </row>
    <row r="11" spans="1:16">
      <c r="A11" s="145" t="s">
        <v>52</v>
      </c>
      <c r="B11" s="139">
        <f>'Sch A-TOU TSM Summary'!B11*Inputs!$C$12</f>
        <v>254.24896289808478</v>
      </c>
      <c r="C11" s="37">
        <f>'Sch A-TOU TSM Summary'!C11*Inputs!$C$12</f>
        <v>282.7187044036184</v>
      </c>
      <c r="D11" s="37">
        <f>'Sch A-TOU TSM Summary'!D11*Inputs!$C$12</f>
        <v>305.74266000373512</v>
      </c>
      <c r="E11" s="37">
        <f>'Sch A-TOU TSM Summary'!E11*Inputs!$C$12</f>
        <v>327.45686962659977</v>
      </c>
      <c r="F11" s="38">
        <f>'Sch A-TOU TSM Summary'!F11*Inputs!$C$12</f>
        <v>299.65639871703712</v>
      </c>
      <c r="G11" s="139"/>
      <c r="H11" s="37"/>
      <c r="I11" s="37"/>
      <c r="J11" s="37"/>
      <c r="K11" s="38"/>
      <c r="L11" s="139">
        <f>'Sch A-TOU TSM Summary'!L11*Inputs!$C$12</f>
        <v>254.24896289808478</v>
      </c>
      <c r="M11" s="37">
        <f>'Sch A-TOU TSM Summary'!M11*Inputs!$C$12</f>
        <v>282.7187044036184</v>
      </c>
      <c r="N11" s="37">
        <f>'Sch A-TOU TSM Summary'!N11*Inputs!$C$12</f>
        <v>305.74266000373512</v>
      </c>
      <c r="O11" s="37">
        <f>'Sch A-TOU TSM Summary'!O11*Inputs!$C$12</f>
        <v>327.45686962659977</v>
      </c>
      <c r="P11" s="38">
        <f>'Sch A-TOU TSM Summary'!P11*Inputs!$C$12</f>
        <v>299.65639871703712</v>
      </c>
    </row>
    <row r="12" spans="1:16">
      <c r="A12" s="518"/>
      <c r="B12" s="42"/>
      <c r="C12" s="86"/>
      <c r="D12" s="86"/>
      <c r="E12" s="86"/>
      <c r="F12" s="375"/>
      <c r="G12" s="42"/>
      <c r="H12" s="86"/>
      <c r="I12" s="86"/>
      <c r="J12" s="86"/>
      <c r="K12" s="375"/>
      <c r="L12" s="42"/>
      <c r="M12" s="86"/>
      <c r="N12" s="86"/>
      <c r="O12" s="86"/>
      <c r="P12" s="375"/>
    </row>
    <row r="13" spans="1:16">
      <c r="A13" s="145" t="s">
        <v>35</v>
      </c>
      <c r="B13" s="142">
        <f>SUM(B9:B11)</f>
        <v>902.31645588141259</v>
      </c>
      <c r="C13" s="34">
        <f>SUM(C9:C11)</f>
        <v>3326.9958471251239</v>
      </c>
      <c r="D13" s="34">
        <f>SUM(D9:D11)</f>
        <v>11688.159588028799</v>
      </c>
      <c r="E13" s="34">
        <f>SUM(E9:E11)</f>
        <v>17998.859553042174</v>
      </c>
      <c r="F13" s="44">
        <f>SUM(F9:F11)</f>
        <v>9618.2309544594264</v>
      </c>
      <c r="G13" s="142"/>
      <c r="H13" s="34"/>
      <c r="I13" s="34"/>
      <c r="J13" s="34"/>
      <c r="K13" s="44"/>
      <c r="L13" s="142">
        <f t="shared" ref="L13:P13" si="0">SUM(L9:L11)</f>
        <v>902.31645588141259</v>
      </c>
      <c r="M13" s="34">
        <f t="shared" si="0"/>
        <v>3326.9958471251239</v>
      </c>
      <c r="N13" s="34">
        <f t="shared" ref="N13:O13" si="1">SUM(N9:N11)</f>
        <v>11688.159588028799</v>
      </c>
      <c r="O13" s="34">
        <f t="shared" si="1"/>
        <v>17998.859553042174</v>
      </c>
      <c r="P13" s="44">
        <f t="shared" si="0"/>
        <v>9618.2309544594264</v>
      </c>
    </row>
    <row r="14" spans="1:16">
      <c r="A14" s="518"/>
      <c r="B14" s="42"/>
      <c r="C14" s="86"/>
      <c r="D14" s="86"/>
      <c r="E14" s="86"/>
      <c r="F14" s="375"/>
      <c r="G14" s="42"/>
      <c r="H14" s="86"/>
      <c r="I14" s="86"/>
      <c r="J14" s="86"/>
      <c r="K14" s="375"/>
      <c r="L14" s="42"/>
      <c r="M14" s="86"/>
      <c r="N14" s="86"/>
      <c r="O14" s="86"/>
      <c r="P14" s="375"/>
    </row>
    <row r="15" spans="1:16">
      <c r="A15" s="145" t="s">
        <v>65</v>
      </c>
      <c r="B15" s="142"/>
      <c r="C15" s="34"/>
      <c r="D15" s="34"/>
      <c r="E15" s="34"/>
      <c r="F15" s="44"/>
      <c r="G15" s="142"/>
      <c r="H15" s="34"/>
      <c r="I15" s="34"/>
      <c r="J15" s="34"/>
      <c r="K15" s="44"/>
      <c r="L15" s="142"/>
      <c r="M15" s="34"/>
      <c r="N15" s="34"/>
      <c r="O15" s="34"/>
      <c r="P15" s="44"/>
    </row>
    <row r="16" spans="1:16">
      <c r="A16" s="519">
        <f>Inputs!C3</f>
        <v>2.7723662892949787E-2</v>
      </c>
      <c r="B16" s="142"/>
      <c r="C16" s="34"/>
      <c r="D16" s="34"/>
      <c r="E16" s="34"/>
      <c r="F16" s="44"/>
      <c r="G16" s="142"/>
      <c r="H16" s="34"/>
      <c r="I16" s="34"/>
      <c r="J16" s="34"/>
      <c r="K16" s="44"/>
      <c r="L16" s="142"/>
      <c r="M16" s="34"/>
      <c r="N16" s="34"/>
      <c r="O16" s="34"/>
      <c r="P16" s="44"/>
    </row>
    <row r="17" spans="1:16">
      <c r="A17" s="40" t="s">
        <v>64</v>
      </c>
      <c r="B17" s="142"/>
      <c r="C17" s="34"/>
      <c r="D17" s="34"/>
      <c r="E17" s="34"/>
      <c r="F17" s="44"/>
      <c r="G17" s="142"/>
      <c r="H17" s="34"/>
      <c r="I17" s="34"/>
      <c r="J17" s="34"/>
      <c r="K17" s="44"/>
      <c r="L17" s="142"/>
      <c r="M17" s="34"/>
      <c r="N17" s="34"/>
      <c r="O17" s="34"/>
      <c r="P17" s="44"/>
    </row>
    <row r="18" spans="1:16">
      <c r="A18" s="53">
        <f>Inputs!C4</f>
        <v>1.5023E-2</v>
      </c>
      <c r="B18" s="142"/>
      <c r="C18" s="34"/>
      <c r="D18" s="34"/>
      <c r="E18" s="34"/>
      <c r="F18" s="44"/>
      <c r="G18" s="142"/>
      <c r="H18" s="34"/>
      <c r="I18" s="34"/>
      <c r="J18" s="34"/>
      <c r="K18" s="44"/>
      <c r="L18" s="142"/>
      <c r="M18" s="34"/>
      <c r="N18" s="34"/>
      <c r="O18" s="34"/>
      <c r="P18" s="44"/>
    </row>
    <row r="19" spans="1:16">
      <c r="A19" s="519"/>
      <c r="B19" s="142"/>
      <c r="C19" s="34"/>
      <c r="D19" s="34"/>
      <c r="E19" s="34"/>
      <c r="F19" s="44"/>
      <c r="G19" s="142"/>
      <c r="H19" s="34"/>
      <c r="I19" s="34"/>
      <c r="J19" s="34"/>
      <c r="K19" s="44"/>
      <c r="L19" s="142"/>
      <c r="M19" s="34"/>
      <c r="N19" s="34"/>
      <c r="O19" s="34"/>
      <c r="P19" s="44"/>
    </row>
    <row r="20" spans="1:16">
      <c r="A20" s="520" t="s">
        <v>111</v>
      </c>
      <c r="B20" s="142">
        <f>(B9*(1+$A$16)*(1+$A$18))</f>
        <v>549.06893358549382</v>
      </c>
      <c r="C20" s="34">
        <f t="shared" ref="C20:F20" si="2">(C9*(1+$A$16)*(1+$A$18))</f>
        <v>2756.8565675691916</v>
      </c>
      <c r="D20" s="34">
        <f t="shared" si="2"/>
        <v>11048.706373331026</v>
      </c>
      <c r="E20" s="34">
        <f t="shared" si="2"/>
        <v>16803.479147927883</v>
      </c>
      <c r="F20" s="34">
        <f t="shared" si="2"/>
        <v>8996.486547052129</v>
      </c>
      <c r="G20" s="142"/>
      <c r="H20" s="34"/>
      <c r="I20" s="34"/>
      <c r="J20" s="34"/>
      <c r="K20" s="44"/>
      <c r="L20" s="142">
        <f>(L9*(1+$A$16)*(1+$A$18))</f>
        <v>549.06893358549382</v>
      </c>
      <c r="M20" s="34">
        <f t="shared" ref="M20:P20" si="3">(M9*(1+$A$16)*(1+$A$18))</f>
        <v>2756.8565675691916</v>
      </c>
      <c r="N20" s="34">
        <f t="shared" si="3"/>
        <v>11048.706373331026</v>
      </c>
      <c r="O20" s="34">
        <f t="shared" si="3"/>
        <v>16803.479147927883</v>
      </c>
      <c r="P20" s="44">
        <f t="shared" si="3"/>
        <v>8996.486547052129</v>
      </c>
    </row>
    <row r="21" spans="1:16">
      <c r="A21" s="520" t="s">
        <v>51</v>
      </c>
      <c r="B21" s="142">
        <f t="shared" ref="B21:F22" si="4">(B10*(1+$A$16)*(1+$A$18))</f>
        <v>126.97119735938995</v>
      </c>
      <c r="C21" s="34">
        <f t="shared" si="4"/>
        <v>418.82118278961002</v>
      </c>
      <c r="D21" s="34">
        <f t="shared" si="4"/>
        <v>825.0115863032911</v>
      </c>
      <c r="E21" s="34">
        <f t="shared" si="4"/>
        <v>1630.6770370720853</v>
      </c>
      <c r="F21" s="34">
        <f t="shared" si="4"/>
        <v>724.30709109724398</v>
      </c>
      <c r="G21" s="142"/>
      <c r="H21" s="34"/>
      <c r="I21" s="34"/>
      <c r="J21" s="34"/>
      <c r="K21" s="44"/>
      <c r="L21" s="142">
        <f t="shared" ref="L21:P22" si="5">(L10*(1+$A$16)*(1+$A$18))</f>
        <v>126.97119735938995</v>
      </c>
      <c r="M21" s="34">
        <f t="shared" si="5"/>
        <v>418.82118278961002</v>
      </c>
      <c r="N21" s="34">
        <f t="shared" si="5"/>
        <v>825.0115863032911</v>
      </c>
      <c r="O21" s="34">
        <f t="shared" si="5"/>
        <v>1630.6770370720853</v>
      </c>
      <c r="P21" s="44">
        <f t="shared" si="5"/>
        <v>724.30709109724398</v>
      </c>
    </row>
    <row r="22" spans="1:16">
      <c r="A22" s="520" t="s">
        <v>52</v>
      </c>
      <c r="B22" s="142">
        <f t="shared" si="4"/>
        <v>265.22315041443375</v>
      </c>
      <c r="C22" s="34">
        <f t="shared" si="4"/>
        <v>294.9217357990629</v>
      </c>
      <c r="D22" s="34">
        <f t="shared" si="4"/>
        <v>318.93947797452569</v>
      </c>
      <c r="E22" s="34">
        <f t="shared" si="4"/>
        <v>341.5909414034802</v>
      </c>
      <c r="F22" s="34">
        <f t="shared" si="4"/>
        <v>312.59051444561442</v>
      </c>
      <c r="G22" s="142"/>
      <c r="H22" s="34"/>
      <c r="I22" s="34"/>
      <c r="J22" s="34"/>
      <c r="K22" s="44"/>
      <c r="L22" s="142">
        <f t="shared" si="5"/>
        <v>265.22315041443375</v>
      </c>
      <c r="M22" s="34">
        <f t="shared" si="5"/>
        <v>294.9217357990629</v>
      </c>
      <c r="N22" s="34">
        <f t="shared" si="5"/>
        <v>318.93947797452569</v>
      </c>
      <c r="O22" s="34">
        <f t="shared" si="5"/>
        <v>341.5909414034802</v>
      </c>
      <c r="P22" s="44">
        <f t="shared" si="5"/>
        <v>312.59051444561442</v>
      </c>
    </row>
    <row r="23" spans="1:16">
      <c r="A23" s="519"/>
      <c r="B23" s="142"/>
      <c r="C23" s="34"/>
      <c r="D23" s="34"/>
      <c r="E23" s="34"/>
      <c r="F23" s="44"/>
      <c r="G23" s="142"/>
      <c r="H23" s="34"/>
      <c r="I23" s="34"/>
      <c r="J23" s="34"/>
      <c r="K23" s="44"/>
      <c r="L23" s="142"/>
      <c r="M23" s="34"/>
      <c r="N23" s="34"/>
      <c r="O23" s="34"/>
      <c r="P23" s="44"/>
    </row>
    <row r="24" spans="1:16">
      <c r="A24" s="145" t="s">
        <v>35</v>
      </c>
      <c r="B24" s="142">
        <f>SUM(B20:B22)</f>
        <v>941.26328135931749</v>
      </c>
      <c r="C24" s="34">
        <f>SUM(C20:C22)</f>
        <v>3470.5994861578647</v>
      </c>
      <c r="D24" s="34">
        <f>SUM(D20:D22)</f>
        <v>12192.657437608843</v>
      </c>
      <c r="E24" s="34">
        <f>SUM(E20:E22)</f>
        <v>18775.747126403447</v>
      </c>
      <c r="F24" s="44">
        <f>SUM(F20:F22)</f>
        <v>10033.384152594987</v>
      </c>
      <c r="G24" s="142"/>
      <c r="H24" s="34"/>
      <c r="I24" s="34"/>
      <c r="J24" s="34"/>
      <c r="K24" s="44"/>
      <c r="L24" s="142">
        <f>SUM(L20:L22)</f>
        <v>941.26328135931749</v>
      </c>
      <c r="M24" s="34">
        <f>SUM(M20:M22)</f>
        <v>3470.5994861578647</v>
      </c>
      <c r="N24" s="34">
        <f>SUM(N20:N22)</f>
        <v>12192.657437608843</v>
      </c>
      <c r="O24" s="34">
        <f>SUM(O20:O22)</f>
        <v>18775.747126403447</v>
      </c>
      <c r="P24" s="44">
        <f>SUM(P20:P22)</f>
        <v>10033.384152594987</v>
      </c>
    </row>
    <row r="25" spans="1:16">
      <c r="A25" s="518"/>
      <c r="B25" s="42"/>
      <c r="C25" s="86"/>
      <c r="D25" s="86"/>
      <c r="E25" s="86"/>
      <c r="F25" s="375"/>
      <c r="G25" s="142"/>
      <c r="H25" s="34"/>
      <c r="I25" s="34"/>
      <c r="J25" s="34"/>
      <c r="K25" s="44"/>
      <c r="L25" s="142"/>
      <c r="M25" s="34"/>
      <c r="N25" s="34"/>
      <c r="O25" s="34"/>
      <c r="P25" s="44"/>
    </row>
    <row r="26" spans="1:16">
      <c r="A26" s="806" t="str">
        <f>'Resid TSM Sum by Rate Schedule'!A25</f>
        <v>Annualized Transformer Cost at 8.05%</v>
      </c>
      <c r="B26" s="147">
        <f>B20*Inputs!$C$5</f>
        <v>44.188333413671948</v>
      </c>
      <c r="C26" s="97">
        <f>C20*Inputs!$C$5</f>
        <v>221.8681293547458</v>
      </c>
      <c r="D26" s="97">
        <f>D20*Inputs!$C$5</f>
        <v>889.18511165136567</v>
      </c>
      <c r="E26" s="97">
        <f>E20*Inputs!$C$5</f>
        <v>1352.3215277352901</v>
      </c>
      <c r="F26" s="99">
        <f>F20*Inputs!$C$5</f>
        <v>724.02520480764747</v>
      </c>
      <c r="G26" s="147"/>
      <c r="H26" s="97"/>
      <c r="I26" s="97"/>
      <c r="J26" s="97"/>
      <c r="K26" s="99"/>
      <c r="L26" s="147">
        <f>L20*Inputs!$C$5</f>
        <v>44.188333413671948</v>
      </c>
      <c r="M26" s="97">
        <f>M20*Inputs!$C$5</f>
        <v>221.8681293547458</v>
      </c>
      <c r="N26" s="97">
        <f>N20*Inputs!$C$5</f>
        <v>889.18511165136567</v>
      </c>
      <c r="O26" s="97">
        <f>O20*Inputs!$C$5</f>
        <v>1352.3215277352901</v>
      </c>
      <c r="P26" s="99">
        <f>P20*Inputs!$C$5</f>
        <v>724.02520480764747</v>
      </c>
    </row>
    <row r="27" spans="1:16">
      <c r="A27" s="806" t="str">
        <f>'Resid TSM Sum by Rate Schedule'!A26</f>
        <v>Annualized Services Cost at 7.08%</v>
      </c>
      <c r="B27" s="147">
        <f>B21*Inputs!$C$6</f>
        <v>8.9863941039846456</v>
      </c>
      <c r="C27" s="97">
        <f>C21*Inputs!$C$6</f>
        <v>29.642094316802858</v>
      </c>
      <c r="D27" s="97">
        <f>D21*Inputs!$C$6</f>
        <v>58.390244473241026</v>
      </c>
      <c r="E27" s="97">
        <f>E21*Inputs!$C$6</f>
        <v>115.41126504438712</v>
      </c>
      <c r="F27" s="99">
        <f>F21*Inputs!$C$6</f>
        <v>51.262877788630909</v>
      </c>
      <c r="G27" s="147"/>
      <c r="H27" s="97"/>
      <c r="I27" s="97"/>
      <c r="J27" s="97"/>
      <c r="K27" s="99"/>
      <c r="L27" s="147">
        <f>L21*Inputs!$C$6</f>
        <v>8.9863941039846456</v>
      </c>
      <c r="M27" s="97">
        <f>M21*Inputs!$C$6</f>
        <v>29.642094316802858</v>
      </c>
      <c r="N27" s="97">
        <f>N21*Inputs!$C$6</f>
        <v>58.390244473241026</v>
      </c>
      <c r="O27" s="97">
        <f>O21*Inputs!$C$6</f>
        <v>115.41126504438712</v>
      </c>
      <c r="P27" s="99">
        <f>P21*Inputs!$C$6</f>
        <v>51.262877788630909</v>
      </c>
    </row>
    <row r="28" spans="1:16" ht="15">
      <c r="A28" s="806" t="str">
        <f>'Resid TSM Sum by Rate Schedule'!A27</f>
        <v>Annualized Meter Cost at 10.78%</v>
      </c>
      <c r="B28" s="628">
        <f>B22*Inputs!$C$7</f>
        <v>28.582157204653598</v>
      </c>
      <c r="C28" s="627">
        <f>C22*Inputs!$C$7</f>
        <v>31.782668302168648</v>
      </c>
      <c r="D28" s="627">
        <f>D22*Inputs!$C$7</f>
        <v>34.37097509773772</v>
      </c>
      <c r="E28" s="627">
        <f>E22*Inputs!$C$7</f>
        <v>36.812042883978016</v>
      </c>
      <c r="F28" s="626">
        <f>F22*Inputs!$C$7</f>
        <v>33.686769841196586</v>
      </c>
      <c r="G28" s="628"/>
      <c r="H28" s="627"/>
      <c r="I28" s="627"/>
      <c r="J28" s="627"/>
      <c r="K28" s="626"/>
      <c r="L28" s="628">
        <f>L22*Inputs!$C$7</f>
        <v>28.582157204653598</v>
      </c>
      <c r="M28" s="627">
        <f>M22*Inputs!$C$7</f>
        <v>31.782668302168648</v>
      </c>
      <c r="N28" s="627">
        <f>N22*Inputs!$C$7</f>
        <v>34.37097509773772</v>
      </c>
      <c r="O28" s="627">
        <f>O22*Inputs!$C$7</f>
        <v>36.812042883978016</v>
      </c>
      <c r="P28" s="626">
        <f>P22*Inputs!$C$7</f>
        <v>33.686769841196586</v>
      </c>
    </row>
    <row r="29" spans="1:16">
      <c r="A29" s="621" t="s">
        <v>380</v>
      </c>
      <c r="B29" s="147">
        <f>SUM(B26:B28)</f>
        <v>81.75688472231019</v>
      </c>
      <c r="C29" s="97">
        <f>SUM(C26:C28)</f>
        <v>283.2928919737173</v>
      </c>
      <c r="D29" s="97">
        <f>SUM(D26:D28)</f>
        <v>981.9463312223445</v>
      </c>
      <c r="E29" s="97">
        <f>SUM(E26:E28)</f>
        <v>1504.5448356636552</v>
      </c>
      <c r="F29" s="99">
        <f>SUM(F26:F28)</f>
        <v>808.97485243747496</v>
      </c>
      <c r="G29" s="147"/>
      <c r="H29" s="97"/>
      <c r="I29" s="97"/>
      <c r="J29" s="97"/>
      <c r="K29" s="99"/>
      <c r="L29" s="147">
        <f t="shared" ref="L29:P29" si="6">SUM(L26:L28)</f>
        <v>81.75688472231019</v>
      </c>
      <c r="M29" s="97">
        <f t="shared" si="6"/>
        <v>283.2928919737173</v>
      </c>
      <c r="N29" s="97">
        <f t="shared" ref="N29:O29" si="7">SUM(N26:N28)</f>
        <v>981.9463312223445</v>
      </c>
      <c r="O29" s="97">
        <f t="shared" si="7"/>
        <v>1504.5448356636552</v>
      </c>
      <c r="P29" s="99">
        <f t="shared" si="6"/>
        <v>808.97485243747496</v>
      </c>
    </row>
    <row r="30" spans="1:16">
      <c r="A30" s="519"/>
      <c r="B30" s="53"/>
      <c r="C30" s="87"/>
      <c r="D30" s="87"/>
      <c r="E30" s="87"/>
      <c r="F30" s="376"/>
      <c r="G30" s="53"/>
      <c r="H30" s="87"/>
      <c r="I30" s="87"/>
      <c r="J30" s="87"/>
      <c r="K30" s="376"/>
      <c r="L30" s="53"/>
      <c r="M30" s="87"/>
      <c r="N30" s="87"/>
      <c r="O30" s="87"/>
      <c r="P30" s="376"/>
    </row>
    <row r="31" spans="1:16">
      <c r="A31" s="40" t="s">
        <v>50</v>
      </c>
      <c r="B31" s="178">
        <f>'Sch A-TOU TSM Summary'!B$31*Inputs!$C$13</f>
        <v>95.754046079396559</v>
      </c>
      <c r="C31" s="88">
        <f>'Sch A-TOU TSM Summary'!C$31*Inputs!$C$13</f>
        <v>95.754046079396559</v>
      </c>
      <c r="D31" s="88">
        <f>'Sch A-TOU TSM Summary'!D$31*Inputs!$C$13</f>
        <v>95.754046079396559</v>
      </c>
      <c r="E31" s="88">
        <f>'Sch A-TOU TSM Summary'!E$31*Inputs!$C$13</f>
        <v>95.754046079396559</v>
      </c>
      <c r="F31" s="374">
        <f>'Sch A-TOU TSM Summary'!F$31*Inputs!$C$13</f>
        <v>95.754046079396559</v>
      </c>
      <c r="G31" s="178"/>
      <c r="H31" s="88"/>
      <c r="I31" s="88"/>
      <c r="J31" s="88"/>
      <c r="K31" s="374"/>
      <c r="L31" s="178">
        <f>'Sch A-TOU TSM Summary'!L$31*Inputs!$C$13</f>
        <v>95.754046079396559</v>
      </c>
      <c r="M31" s="88">
        <f>'Sch A-TOU TSM Summary'!M$31*Inputs!$C$13</f>
        <v>95.754046079396559</v>
      </c>
      <c r="N31" s="88">
        <f>'Sch A-TOU TSM Summary'!N$31*Inputs!$C$13</f>
        <v>95.754046079396559</v>
      </c>
      <c r="O31" s="88">
        <f>'Sch A-TOU TSM Summary'!O$31*Inputs!$C$13</f>
        <v>95.754046079396559</v>
      </c>
      <c r="P31" s="374">
        <f>'Sch A-TOU TSM Summary'!P$31*Inputs!$C$13</f>
        <v>95.754046079396559</v>
      </c>
    </row>
    <row r="32" spans="1:16" ht="15">
      <c r="A32" s="40" t="s">
        <v>453</v>
      </c>
      <c r="B32" s="730">
        <f>-Inputs!$C$18</f>
        <v>-3.0284021924274875</v>
      </c>
      <c r="C32" s="729">
        <f>-Inputs!$C$18</f>
        <v>-3.0284021924274875</v>
      </c>
      <c r="D32" s="729">
        <f>-Inputs!$C$18</f>
        <v>-3.0284021924274875</v>
      </c>
      <c r="E32" s="729">
        <f>-Inputs!$C$18</f>
        <v>-3.0284021924274875</v>
      </c>
      <c r="F32" s="731">
        <f>-Inputs!$C$18</f>
        <v>-3.0284021924274875</v>
      </c>
      <c r="G32" s="730"/>
      <c r="H32" s="729"/>
      <c r="I32" s="729"/>
      <c r="J32" s="729"/>
      <c r="K32" s="731"/>
      <c r="L32" s="730">
        <f>-Inputs!$C$18</f>
        <v>-3.0284021924274875</v>
      </c>
      <c r="M32" s="729">
        <f>-Inputs!$C$18</f>
        <v>-3.0284021924274875</v>
      </c>
      <c r="N32" s="729">
        <f>-Inputs!$C$18</f>
        <v>-3.0284021924274875</v>
      </c>
      <c r="O32" s="729">
        <f>-Inputs!$C$18</f>
        <v>-3.0284021924274875</v>
      </c>
      <c r="P32" s="731">
        <f>-Inputs!$C$18</f>
        <v>-3.0284021924274875</v>
      </c>
    </row>
    <row r="33" spans="1:16">
      <c r="A33" s="40" t="s">
        <v>451</v>
      </c>
      <c r="B33" s="178">
        <f>B31+B32</f>
        <v>92.725643886969067</v>
      </c>
      <c r="C33" s="88">
        <f t="shared" ref="C33:P33" si="8">C31+C32</f>
        <v>92.725643886969067</v>
      </c>
      <c r="D33" s="88">
        <f t="shared" si="8"/>
        <v>92.725643886969067</v>
      </c>
      <c r="E33" s="88">
        <f t="shared" si="8"/>
        <v>92.725643886969067</v>
      </c>
      <c r="F33" s="374">
        <f t="shared" si="8"/>
        <v>92.725643886969067</v>
      </c>
      <c r="G33" s="178"/>
      <c r="H33" s="88"/>
      <c r="I33" s="88"/>
      <c r="J33" s="88"/>
      <c r="K33" s="374"/>
      <c r="L33" s="178">
        <f t="shared" si="8"/>
        <v>92.725643886969067</v>
      </c>
      <c r="M33" s="88">
        <f t="shared" si="8"/>
        <v>92.725643886969067</v>
      </c>
      <c r="N33" s="88">
        <f t="shared" ref="N33" si="9">N31+N32</f>
        <v>92.725643886969067</v>
      </c>
      <c r="O33" s="88">
        <f t="shared" ref="O33" si="10">O31+O32</f>
        <v>92.725643886969067</v>
      </c>
      <c r="P33" s="374">
        <f t="shared" si="8"/>
        <v>92.725643886969067</v>
      </c>
    </row>
    <row r="34" spans="1:16">
      <c r="A34" s="146"/>
      <c r="B34" s="178"/>
      <c r="C34" s="88"/>
      <c r="D34" s="88"/>
      <c r="E34" s="88"/>
      <c r="F34" s="374"/>
      <c r="G34" s="11"/>
      <c r="H34" s="12"/>
      <c r="I34" s="12"/>
      <c r="J34" s="12"/>
      <c r="K34" s="101"/>
      <c r="L34" s="178"/>
      <c r="M34" s="88"/>
      <c r="N34" s="88"/>
      <c r="O34" s="88"/>
      <c r="P34" s="374"/>
    </row>
    <row r="35" spans="1:16">
      <c r="A35" s="145" t="s">
        <v>61</v>
      </c>
      <c r="B35" s="178">
        <f>'Sch A-TOU TSM Summary'!B33*Inputs!$C$14</f>
        <v>56.488244546548472</v>
      </c>
      <c r="C35" s="88">
        <f>'Sch A-TOU TSM Summary'!C33*Inputs!$C$14</f>
        <v>56.488244546548472</v>
      </c>
      <c r="D35" s="88">
        <f>'Sch A-TOU TSM Summary'!D33*Inputs!$C$14</f>
        <v>56.488244546548472</v>
      </c>
      <c r="E35" s="88">
        <f>'Sch A-TOU TSM Summary'!E33*Inputs!$C$14</f>
        <v>56.488244546548472</v>
      </c>
      <c r="F35" s="374">
        <f>'Sch A-TOU TSM Summary'!F33*Inputs!$C$14</f>
        <v>56.488244546548472</v>
      </c>
      <c r="G35" s="380"/>
      <c r="H35" s="109"/>
      <c r="I35" s="109"/>
      <c r="J35" s="109"/>
      <c r="K35" s="381"/>
      <c r="L35" s="178">
        <f>'Sch A-TOU TSM Summary'!L33*Inputs!$C$14</f>
        <v>56.488244546548472</v>
      </c>
      <c r="M35" s="88">
        <f>'Sch A-TOU TSM Summary'!M33*Inputs!$C$14</f>
        <v>56.488244546548472</v>
      </c>
      <c r="N35" s="88">
        <f>'Sch A-TOU TSM Summary'!N33*Inputs!$C$14</f>
        <v>56.488244546548472</v>
      </c>
      <c r="O35" s="88">
        <f>'Sch A-TOU TSM Summary'!O33*Inputs!$C$14</f>
        <v>56.488244546548472</v>
      </c>
      <c r="P35" s="374">
        <f>'Sch A-TOU TSM Summary'!P33*Inputs!$C$14</f>
        <v>56.488244546548472</v>
      </c>
    </row>
    <row r="36" spans="1:16">
      <c r="A36" s="146"/>
      <c r="B36" s="11"/>
      <c r="C36" s="12"/>
      <c r="D36" s="12"/>
      <c r="E36" s="12"/>
      <c r="F36" s="101"/>
      <c r="G36" s="11"/>
      <c r="H36" s="12"/>
      <c r="I36" s="12"/>
      <c r="J36" s="12"/>
      <c r="K36" s="101"/>
      <c r="L36" s="11"/>
      <c r="M36" s="12"/>
      <c r="N36" s="12"/>
      <c r="O36" s="12"/>
      <c r="P36" s="101"/>
    </row>
    <row r="37" spans="1:16" ht="13.5" thickBot="1">
      <c r="A37" s="622" t="s">
        <v>98</v>
      </c>
      <c r="B37" s="377">
        <f>B29+B33+B35</f>
        <v>230.97077315582771</v>
      </c>
      <c r="C37" s="378">
        <f>C29+C33+C35</f>
        <v>432.50678040723483</v>
      </c>
      <c r="D37" s="378">
        <f>D29+D33+D35</f>
        <v>1131.160219655862</v>
      </c>
      <c r="E37" s="378">
        <f>E29+E33+E35</f>
        <v>1653.7587240971727</v>
      </c>
      <c r="F37" s="379">
        <f>F29+F33+F35</f>
        <v>958.18874087099243</v>
      </c>
      <c r="G37" s="377"/>
      <c r="H37" s="378"/>
      <c r="I37" s="378"/>
      <c r="J37" s="378"/>
      <c r="K37" s="379"/>
      <c r="L37" s="377">
        <f t="shared" ref="L37:P37" si="11">L29+L33+L35</f>
        <v>230.97077315582771</v>
      </c>
      <c r="M37" s="378">
        <f t="shared" si="11"/>
        <v>432.50678040723483</v>
      </c>
      <c r="N37" s="378">
        <f t="shared" ref="N37:O37" si="12">N29+N33+N35</f>
        <v>1131.160219655862</v>
      </c>
      <c r="O37" s="378">
        <f t="shared" si="12"/>
        <v>1653.7587240971727</v>
      </c>
      <c r="P37" s="379">
        <f t="shared" si="11"/>
        <v>958.18874087099243</v>
      </c>
    </row>
    <row r="38" spans="1:16">
      <c r="A38" s="113"/>
      <c r="B38" s="113"/>
      <c r="C38" s="113"/>
      <c r="D38" s="113"/>
      <c r="E38" s="113"/>
      <c r="F38" s="113"/>
    </row>
    <row r="41" spans="1:16">
      <c r="A41" t="s">
        <v>3</v>
      </c>
    </row>
    <row r="49" spans="1:6">
      <c r="A49" s="19"/>
      <c r="B49" s="19"/>
      <c r="C49" s="19"/>
      <c r="D49" s="19"/>
      <c r="E49" s="19"/>
      <c r="F49" s="19"/>
    </row>
    <row r="61" spans="1:6">
      <c r="A61" s="19"/>
      <c r="B61" s="19"/>
      <c r="C61" s="19"/>
      <c r="D61" s="19"/>
      <c r="E61" s="19"/>
      <c r="F61" s="19"/>
    </row>
  </sheetData>
  <mergeCells count="5">
    <mergeCell ref="A1:F1"/>
    <mergeCell ref="B3:F3"/>
    <mergeCell ref="G3:K3"/>
    <mergeCell ref="L3:P3"/>
    <mergeCell ref="B2:P2"/>
  </mergeCells>
  <printOptions horizontalCentered="1"/>
  <pageMargins left="0.75" right="0.75" top="1" bottom="1" header="0.5" footer="0.5"/>
  <pageSetup scale="94" orientation="portrait" r:id="rId1"/>
  <headerFooter alignWithMargins="0">
    <oddFooter>&amp;L&amp;F
&amp;A&amp;R&amp;P of &amp;N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Sheet30">
    <tabColor rgb="FF00642D"/>
    <pageSetUpPr fitToPage="1"/>
  </sheetPr>
  <dimension ref="A1:U65"/>
  <sheetViews>
    <sheetView zoomScaleNormal="100" workbookViewId="0">
      <pane xSplit="1" ySplit="5" topLeftCell="B6" activePane="bottomRight" state="frozen"/>
      <selection activeCell="D15" sqref="D15"/>
      <selection pane="topRight" activeCell="D15" sqref="D15"/>
      <selection pane="bottomLeft" activeCell="D15" sqref="D15"/>
      <selection pane="bottomRight" activeCell="A17" sqref="A17"/>
    </sheetView>
  </sheetViews>
  <sheetFormatPr defaultRowHeight="12.75"/>
  <cols>
    <col min="1" max="1" width="31.28515625" bestFit="1" customWidth="1"/>
    <col min="2" max="2" width="12.85546875" customWidth="1"/>
    <col min="3" max="3" width="11.5703125" customWidth="1"/>
    <col min="4" max="4" width="11.28515625" bestFit="1" customWidth="1"/>
    <col min="5" max="5" width="10.7109375" customWidth="1"/>
    <col min="6" max="6" width="12.85546875" customWidth="1"/>
    <col min="7" max="7" width="9.28515625" bestFit="1" customWidth="1"/>
    <col min="8" max="8" width="8.7109375" bestFit="1" customWidth="1"/>
    <col min="9" max="9" width="10.28515625" bestFit="1" customWidth="1"/>
    <col min="10" max="10" width="12.85546875" bestFit="1" customWidth="1"/>
    <col min="11" max="13" width="10.28515625" customWidth="1"/>
    <col min="14" max="14" width="12.85546875" bestFit="1" customWidth="1"/>
    <col min="15" max="16" width="11.28515625" bestFit="1" customWidth="1"/>
    <col min="17" max="17" width="10.28515625" customWidth="1"/>
    <col min="18" max="18" width="12.85546875" bestFit="1" customWidth="1"/>
    <col min="19" max="21" width="10.28515625" bestFit="1" customWidth="1"/>
  </cols>
  <sheetData>
    <row r="1" spans="1:21" ht="18.75" thickBot="1">
      <c r="A1" s="841" t="s">
        <v>214</v>
      </c>
      <c r="B1" s="841"/>
      <c r="C1" s="841"/>
      <c r="D1" s="841"/>
      <c r="E1" s="841"/>
      <c r="F1" s="841"/>
      <c r="G1" s="841"/>
      <c r="H1" s="841"/>
      <c r="I1" s="841"/>
      <c r="J1" s="841"/>
      <c r="K1" s="841"/>
      <c r="L1" s="841"/>
      <c r="M1" s="841"/>
      <c r="N1" s="841"/>
      <c r="O1" s="841"/>
      <c r="P1" s="841"/>
      <c r="Q1" s="841"/>
    </row>
    <row r="2" spans="1:21" ht="13.5" thickBot="1">
      <c r="A2" s="131"/>
      <c r="B2" s="834" t="s">
        <v>132</v>
      </c>
      <c r="C2" s="835"/>
      <c r="D2" s="835"/>
      <c r="E2" s="835"/>
      <c r="F2" s="835"/>
      <c r="G2" s="835"/>
      <c r="H2" s="835"/>
      <c r="I2" s="835"/>
      <c r="J2" s="835"/>
      <c r="K2" s="835"/>
      <c r="L2" s="835"/>
      <c r="M2" s="835"/>
      <c r="N2" s="835"/>
      <c r="O2" s="835"/>
      <c r="P2" s="835"/>
      <c r="Q2" s="835"/>
      <c r="R2" s="835"/>
      <c r="S2" s="835"/>
      <c r="T2" s="835"/>
      <c r="U2" s="837"/>
    </row>
    <row r="3" spans="1:21">
      <c r="A3" s="196"/>
      <c r="B3" s="842" t="s">
        <v>127</v>
      </c>
      <c r="C3" s="843"/>
      <c r="D3" s="843"/>
      <c r="E3" s="844"/>
      <c r="F3" s="842" t="s">
        <v>114</v>
      </c>
      <c r="G3" s="843"/>
      <c r="H3" s="843"/>
      <c r="I3" s="844"/>
      <c r="J3" s="842" t="s">
        <v>115</v>
      </c>
      <c r="K3" s="843"/>
      <c r="L3" s="843"/>
      <c r="M3" s="844"/>
      <c r="N3" s="842" t="s">
        <v>113</v>
      </c>
      <c r="O3" s="843"/>
      <c r="P3" s="843"/>
      <c r="Q3" s="843"/>
      <c r="R3" s="836" t="s">
        <v>216</v>
      </c>
      <c r="S3" s="843"/>
      <c r="T3" s="843"/>
      <c r="U3" s="844"/>
    </row>
    <row r="4" spans="1:21" ht="13.5" thickBot="1">
      <c r="A4" s="102" t="s">
        <v>4</v>
      </c>
      <c r="B4" s="417" t="s">
        <v>36</v>
      </c>
      <c r="C4" s="418" t="s">
        <v>37</v>
      </c>
      <c r="D4" s="418" t="s">
        <v>38</v>
      </c>
      <c r="E4" s="419" t="s">
        <v>41</v>
      </c>
      <c r="F4" s="417" t="s">
        <v>36</v>
      </c>
      <c r="G4" s="418" t="s">
        <v>37</v>
      </c>
      <c r="H4" s="418" t="s">
        <v>38</v>
      </c>
      <c r="I4" s="419" t="s">
        <v>41</v>
      </c>
      <c r="J4" s="417" t="s">
        <v>36</v>
      </c>
      <c r="K4" s="418" t="s">
        <v>37</v>
      </c>
      <c r="L4" s="418" t="s">
        <v>38</v>
      </c>
      <c r="M4" s="419" t="s">
        <v>41</v>
      </c>
      <c r="N4" s="417" t="s">
        <v>36</v>
      </c>
      <c r="O4" s="418" t="s">
        <v>37</v>
      </c>
      <c r="P4" s="418" t="s">
        <v>40</v>
      </c>
      <c r="Q4" s="418" t="s">
        <v>41</v>
      </c>
      <c r="R4" s="417" t="s">
        <v>36</v>
      </c>
      <c r="S4" s="418" t="s">
        <v>37</v>
      </c>
      <c r="T4" s="418" t="s">
        <v>38</v>
      </c>
      <c r="U4" s="419" t="s">
        <v>41</v>
      </c>
    </row>
    <row r="5" spans="1:21">
      <c r="A5" s="133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5" t="s">
        <v>42</v>
      </c>
      <c r="K5" s="6" t="s">
        <v>42</v>
      </c>
      <c r="L5" s="6" t="s">
        <v>42</v>
      </c>
      <c r="M5" s="7" t="s">
        <v>43</v>
      </c>
      <c r="N5" s="6"/>
      <c r="O5" s="6"/>
      <c r="P5" s="6"/>
      <c r="Q5" s="6"/>
      <c r="R5" s="11"/>
      <c r="S5" s="12"/>
      <c r="T5" s="12"/>
      <c r="U5" s="101"/>
    </row>
    <row r="6" spans="1:21">
      <c r="A6" s="112"/>
      <c r="B6" s="132"/>
      <c r="C6" s="8"/>
      <c r="D6" s="8"/>
      <c r="E6" s="9"/>
      <c r="F6" s="132"/>
      <c r="G6" s="8"/>
      <c r="H6" s="8"/>
      <c r="I6" s="9"/>
      <c r="J6" s="132"/>
      <c r="K6" s="8"/>
      <c r="L6" s="8"/>
      <c r="M6" s="9"/>
      <c r="N6" s="8"/>
      <c r="O6" s="8"/>
      <c r="P6" s="8"/>
      <c r="Q6" s="8"/>
      <c r="R6" s="11"/>
      <c r="S6" s="12"/>
      <c r="T6" s="12"/>
      <c r="U6" s="101"/>
    </row>
    <row r="7" spans="1:21">
      <c r="A7" s="153" t="s">
        <v>5</v>
      </c>
      <c r="B7" s="137">
        <f>'Sm Comm Cust Fcst'!$W8*'Non-Residential TSM UC Adj'!B7</f>
        <v>873.09145669660791</v>
      </c>
      <c r="C7" s="23">
        <f>'Sm Comm Cust Fcst'!$W8*'Non-Residential TSM UC Adj'!C7</f>
        <v>336.50136585798106</v>
      </c>
      <c r="D7" s="23">
        <f>'Sm Comm Cust Fcst'!$W8*0</f>
        <v>0</v>
      </c>
      <c r="E7" s="45">
        <f>IF(SUM(B7:D7)=0,0,SUM(B7:D7)/'Sm Comm Cust Fcst'!W8)</f>
        <v>403.19760751819632</v>
      </c>
      <c r="F7" s="137">
        <f>'Sm Comm Cust Fcst'!$X8*'Non-Residential TSM UC Adj'!F7</f>
        <v>0</v>
      </c>
      <c r="G7" s="23">
        <f>'Sm Comm Cust Fcst'!$X8*'Non-Residential TSM UC Adj'!G7</f>
        <v>0</v>
      </c>
      <c r="H7" s="23">
        <f>'Sm Comm Cust Fcst'!$X8*0</f>
        <v>0</v>
      </c>
      <c r="I7" s="45">
        <f>IF(SUM(F7:H7)=0,0,SUM(F7:H7)/'Sm Comm Cust Fcst'!X8)</f>
        <v>0</v>
      </c>
      <c r="J7" s="137">
        <f>'Sm Comm Cust Fcst'!$Y8*'Non-Residential TSM UC Adj'!J7</f>
        <v>0</v>
      </c>
      <c r="K7" s="23">
        <f>'Sm Comm Cust Fcst'!$Y8*'Non-Residential TSM UC Adj'!K7</f>
        <v>0</v>
      </c>
      <c r="L7" s="23">
        <f>'Sm Comm Cust Fcst'!$Y8*0</f>
        <v>0</v>
      </c>
      <c r="M7" s="45">
        <f>IF(SUM(J7:L7)=0,0,SUM(J7:L7)/'Sm Comm Cust Fcst'!Y8)</f>
        <v>0</v>
      </c>
      <c r="N7" s="137">
        <f>'Sm Comm Cust Fcst'!$Z8*'Non-Residential TSM UC Adj'!N7</f>
        <v>0</v>
      </c>
      <c r="O7" s="23">
        <f>'Sm Comm Cust Fcst'!$Z8*'Non-Residential TSM UC Adj'!O7</f>
        <v>0</v>
      </c>
      <c r="P7" s="23">
        <f>'Sm Comm Cust Fcst'!$Z8*0</f>
        <v>0</v>
      </c>
      <c r="Q7" s="23">
        <f>IF(SUM(N7:P7)=0,0,SUM(N7:P7)/'Sm Comm Cust Fcst'!Z8)</f>
        <v>0</v>
      </c>
      <c r="R7" s="137">
        <f>B7+F7+J7+N7</f>
        <v>873.09145669660791</v>
      </c>
      <c r="S7" s="23">
        <f t="shared" ref="S7:T23" si="0">C7+G7+K7+O7</f>
        <v>336.50136585798106</v>
      </c>
      <c r="T7" s="23">
        <f t="shared" si="0"/>
        <v>0</v>
      </c>
      <c r="U7" s="45">
        <f>IF(SUM(R7:T7)=0,0,SUM(R7:T7)/'Sm Comm Cust Fcst'!AA8)</f>
        <v>403.19760751819632</v>
      </c>
    </row>
    <row r="8" spans="1:21">
      <c r="A8" s="155" t="s">
        <v>251</v>
      </c>
      <c r="B8" s="137">
        <f>'Sm Comm Cust Fcst'!$W9*'Non-Residential TSM UC Adj'!B8</f>
        <v>9604.0060236626869</v>
      </c>
      <c r="C8" s="23">
        <f>'Sm Comm Cust Fcst'!$W9*'Non-Residential TSM UC Adj'!C8</f>
        <v>1233.8383414792638</v>
      </c>
      <c r="D8" s="23">
        <f>'Sm Comm Cust Fcst'!$W9*0</f>
        <v>0</v>
      </c>
      <c r="E8" s="45">
        <f>IF(SUM(B8:D8)=0,0,SUM(B8:D8)/'Sm Comm Cust Fcst'!W9)</f>
        <v>985.25857864926832</v>
      </c>
      <c r="F8" s="137">
        <f>'Sm Comm Cust Fcst'!$X9*'Non-Residential TSM UC Adj'!F8</f>
        <v>0</v>
      </c>
      <c r="G8" s="23">
        <f>'Sm Comm Cust Fcst'!$X9*'Non-Residential TSM UC Adj'!G8</f>
        <v>0</v>
      </c>
      <c r="H8" s="23">
        <f>'Sm Comm Cust Fcst'!$X9*0</f>
        <v>0</v>
      </c>
      <c r="I8" s="45">
        <f>IF(SUM(F8:H8)=0,0,SUM(F8:H8)/'Sm Comm Cust Fcst'!X9)</f>
        <v>0</v>
      </c>
      <c r="J8" s="137">
        <f>'Sm Comm Cust Fcst'!$Y9*'Non-Residential TSM UC Adj'!J8</f>
        <v>0</v>
      </c>
      <c r="K8" s="23">
        <f>'Sm Comm Cust Fcst'!$Y9*'Non-Residential TSM UC Adj'!K8</f>
        <v>0</v>
      </c>
      <c r="L8" s="23">
        <f>'Sm Comm Cust Fcst'!$Y9*0</f>
        <v>0</v>
      </c>
      <c r="M8" s="45">
        <f>IF(SUM(J8:L8)=0,0,SUM(J8:L8)/'Sm Comm Cust Fcst'!Y9)</f>
        <v>0</v>
      </c>
      <c r="N8" s="137">
        <f>'Sm Comm Cust Fcst'!$Z9*'Non-Residential TSM UC Adj'!N8</f>
        <v>0</v>
      </c>
      <c r="O8" s="23">
        <f>'Sm Comm Cust Fcst'!$Z9*'Non-Residential TSM UC Adj'!O8</f>
        <v>0</v>
      </c>
      <c r="P8" s="23">
        <f>'Sm Comm Cust Fcst'!$Z9*0</f>
        <v>0</v>
      </c>
      <c r="Q8" s="23">
        <f>IF(SUM(N8:P8)=0,0,SUM(N8:P8)/'Sm Comm Cust Fcst'!Z9)</f>
        <v>0</v>
      </c>
      <c r="R8" s="137">
        <f>B8+F8+J8+N8</f>
        <v>9604.0060236626869</v>
      </c>
      <c r="S8" s="23">
        <f>C8+G8+K8+O8</f>
        <v>1233.8383414792638</v>
      </c>
      <c r="T8" s="23">
        <f>D8+H8+L8+P8</f>
        <v>0</v>
      </c>
      <c r="U8" s="45">
        <f>IF(SUM(R8:T8)=0,0,SUM(R8:T8)/'Sm Comm Cust Fcst'!AA9)</f>
        <v>985.25857864926832</v>
      </c>
    </row>
    <row r="9" spans="1:21">
      <c r="A9" s="154" t="s">
        <v>252</v>
      </c>
      <c r="B9" s="137">
        <f>'Sm Comm Cust Fcst'!$W10*'Non-Residential TSM UC Adj'!B8</f>
        <v>6984.7316535728633</v>
      </c>
      <c r="C9" s="23">
        <f>'Sm Comm Cust Fcst'!$W10*'Non-Residential TSM UC Adj'!C8</f>
        <v>897.33697562128282</v>
      </c>
      <c r="D9" s="23">
        <f>'Sm Comm Cust Fcst'!$W10*0</f>
        <v>0</v>
      </c>
      <c r="E9" s="45">
        <f>IF(SUM(B9:D9)=0,0,SUM(B9:D9)/'Sm Comm Cust Fcst'!W10)</f>
        <v>985.2585786492682</v>
      </c>
      <c r="F9" s="137">
        <f>'Sm Comm Cust Fcst'!$X10*'Non-Residential TSM UC Adj'!F8</f>
        <v>0</v>
      </c>
      <c r="G9" s="23">
        <f>'Sm Comm Cust Fcst'!$X10*'Non-Residential TSM UC Adj'!G8</f>
        <v>0</v>
      </c>
      <c r="H9" s="23">
        <f>'Sm Comm Cust Fcst'!$X10*0</f>
        <v>0</v>
      </c>
      <c r="I9" s="45">
        <f>IF(SUM(F9:H9)=0,0,SUM(F9:H9)/'Sm Comm Cust Fcst'!X10)</f>
        <v>0</v>
      </c>
      <c r="J9" s="137">
        <f>'Sm Comm Cust Fcst'!$Y10*'Non-Residential TSM UC Adj'!J8</f>
        <v>0</v>
      </c>
      <c r="K9" s="23">
        <f>'Sm Comm Cust Fcst'!$Y10*'Non-Residential TSM UC Adj'!K8</f>
        <v>0</v>
      </c>
      <c r="L9" s="23">
        <f>'Sm Comm Cust Fcst'!$Y10*0</f>
        <v>0</v>
      </c>
      <c r="M9" s="45">
        <f>IF(SUM(J9:L9)=0,0,SUM(J9:L9)/'Sm Comm Cust Fcst'!Y10)</f>
        <v>0</v>
      </c>
      <c r="N9" s="137">
        <f>'Sm Comm Cust Fcst'!$Z10*'Non-Residential TSM UC Adj'!N8</f>
        <v>0</v>
      </c>
      <c r="O9" s="23">
        <f>'Sm Comm Cust Fcst'!$Z10*'Non-Residential TSM UC Adj'!O8</f>
        <v>0</v>
      </c>
      <c r="P9" s="23">
        <f>'Sm Comm Cust Fcst'!$Z10*0</f>
        <v>0</v>
      </c>
      <c r="Q9" s="23">
        <f>IF(SUM(N9:P9)=0,0,SUM(N9:P9)/'Sm Comm Cust Fcst'!Z10)</f>
        <v>0</v>
      </c>
      <c r="R9" s="137">
        <f t="shared" ref="R9:T38" si="1">B9+F9+J9+N9</f>
        <v>6984.7316535728633</v>
      </c>
      <c r="S9" s="23">
        <f t="shared" si="0"/>
        <v>897.33697562128282</v>
      </c>
      <c r="T9" s="23">
        <f t="shared" si="0"/>
        <v>0</v>
      </c>
      <c r="U9" s="45">
        <f>IF(SUM(R9:T9)=0,0,SUM(R9:T9)/'Sm Comm Cust Fcst'!AA10)</f>
        <v>985.2585786492682</v>
      </c>
    </row>
    <row r="10" spans="1:21">
      <c r="A10" s="155" t="s">
        <v>7</v>
      </c>
      <c r="B10" s="137">
        <f>'Sm Comm Cust Fcst'!$W11*'Non-Residential TSM UC Adj'!B9</f>
        <v>6111.6401968762557</v>
      </c>
      <c r="C10" s="23">
        <f>'Sm Comm Cust Fcst'!$W11*'Non-Residential TSM UC Adj'!C9</f>
        <v>1106.7325064001718</v>
      </c>
      <c r="D10" s="23">
        <f>'Sm Comm Cust Fcst'!$W11*0</f>
        <v>0</v>
      </c>
      <c r="E10" s="45">
        <f>IF(SUM(B10:D10)=0,0,SUM(B10:D10)/'Sm Comm Cust Fcst'!W11)</f>
        <v>1031.1961004680611</v>
      </c>
      <c r="F10" s="137">
        <f>'Sm Comm Cust Fcst'!$X11*'Non-Residential TSM UC Adj'!F9</f>
        <v>0</v>
      </c>
      <c r="G10" s="23">
        <f>'Sm Comm Cust Fcst'!$X11*'Non-Residential TSM UC Adj'!G9</f>
        <v>0</v>
      </c>
      <c r="H10" s="23">
        <f>'Sm Comm Cust Fcst'!$X11*0</f>
        <v>0</v>
      </c>
      <c r="I10" s="45">
        <f>IF(SUM(F10:H10)=0,0,SUM(F10:H10)/'Sm Comm Cust Fcst'!X11)</f>
        <v>0</v>
      </c>
      <c r="J10" s="137">
        <f>'Sm Comm Cust Fcst'!$Y11*'Non-Residential TSM UC Adj'!J9</f>
        <v>0</v>
      </c>
      <c r="K10" s="23">
        <f>'Sm Comm Cust Fcst'!$Y11*'Non-Residential TSM UC Adj'!K9</f>
        <v>0</v>
      </c>
      <c r="L10" s="23">
        <f>'Sm Comm Cust Fcst'!$Y11*0</f>
        <v>0</v>
      </c>
      <c r="M10" s="45">
        <f>IF(SUM(J10:L10)=0,0,SUM(J10:L10)/'Sm Comm Cust Fcst'!Y11)</f>
        <v>0</v>
      </c>
      <c r="N10" s="137">
        <f>'Sm Comm Cust Fcst'!$Z11*'Non-Residential TSM UC Adj'!N9</f>
        <v>0</v>
      </c>
      <c r="O10" s="23">
        <f>'Sm Comm Cust Fcst'!$Z11*'Non-Residential TSM UC Adj'!O9</f>
        <v>0</v>
      </c>
      <c r="P10" s="23">
        <f>'Sm Comm Cust Fcst'!$Z11*0</f>
        <v>0</v>
      </c>
      <c r="Q10" s="23">
        <f>IF(SUM(N10:P10)=0,0,SUM(N10:P10)/'Sm Comm Cust Fcst'!Z11)</f>
        <v>0</v>
      </c>
      <c r="R10" s="137">
        <f t="shared" si="1"/>
        <v>6111.6401968762557</v>
      </c>
      <c r="S10" s="23">
        <f t="shared" si="0"/>
        <v>1106.7325064001718</v>
      </c>
      <c r="T10" s="23">
        <f t="shared" si="0"/>
        <v>0</v>
      </c>
      <c r="U10" s="45">
        <f>IF(SUM(R10:T10)=0,0,SUM(R10:T10)/'Sm Comm Cust Fcst'!AA11)</f>
        <v>1031.1961004680611</v>
      </c>
    </row>
    <row r="11" spans="1:21">
      <c r="A11" s="155" t="s">
        <v>124</v>
      </c>
      <c r="B11" s="137">
        <f>'Sm Comm Cust Fcst'!$W12*'Non-Residential TSM UC Adj'!B10</f>
        <v>6548.1859252245595</v>
      </c>
      <c r="C11" s="23">
        <f>'Sm Comm Cust Fcst'!$W12*'Non-Residential TSM UC Adj'!C10</f>
        <v>518.48803733496766</v>
      </c>
      <c r="D11" s="23">
        <f>'Sm Comm Cust Fcst'!$W12*0</f>
        <v>0</v>
      </c>
      <c r="E11" s="45">
        <f>IF(SUM(B11:D11)=0,0,SUM(B11:D11)/'Sm Comm Cust Fcst'!W12)</f>
        <v>2355.5579875198423</v>
      </c>
      <c r="F11" s="137">
        <f>'Sm Comm Cust Fcst'!$X12*'Non-Residential TSM UC Adj'!F10</f>
        <v>0</v>
      </c>
      <c r="G11" s="23">
        <f>'Sm Comm Cust Fcst'!$X12*'Non-Residential TSM UC Adj'!G10</f>
        <v>0</v>
      </c>
      <c r="H11" s="23">
        <f>'Sm Comm Cust Fcst'!$X12*0</f>
        <v>0</v>
      </c>
      <c r="I11" s="45">
        <f>IF(SUM(F11:H11)=0,0,SUM(F11:H11)/'Sm Comm Cust Fcst'!X12)</f>
        <v>0</v>
      </c>
      <c r="J11" s="137">
        <f>'Sm Comm Cust Fcst'!$Y12*'Non-Residential TSM UC Adj'!J10</f>
        <v>0</v>
      </c>
      <c r="K11" s="23">
        <f>'Sm Comm Cust Fcst'!$Y12*'Non-Residential TSM UC Adj'!K10</f>
        <v>0</v>
      </c>
      <c r="L11" s="23">
        <f>'Sm Comm Cust Fcst'!$Y12*0</f>
        <v>0</v>
      </c>
      <c r="M11" s="45">
        <f>IF(SUM(J11:L11)=0,0,SUM(J11:L11)/'Sm Comm Cust Fcst'!Y12)</f>
        <v>0</v>
      </c>
      <c r="N11" s="137">
        <f>'Sm Comm Cust Fcst'!$Z12*'Non-Residential TSM UC Adj'!N10</f>
        <v>0</v>
      </c>
      <c r="O11" s="23">
        <f>'Sm Comm Cust Fcst'!$Z12*'Non-Residential TSM UC Adj'!O10</f>
        <v>0</v>
      </c>
      <c r="P11" s="23">
        <f>'Sm Comm Cust Fcst'!$Z12*0</f>
        <v>0</v>
      </c>
      <c r="Q11" s="23">
        <f>IF(SUM(N11:P11)=0,0,SUM(N11:P11)/'Sm Comm Cust Fcst'!Z12)</f>
        <v>0</v>
      </c>
      <c r="R11" s="137">
        <f t="shared" si="1"/>
        <v>6548.1859252245595</v>
      </c>
      <c r="S11" s="23">
        <f t="shared" si="0"/>
        <v>518.48803733496766</v>
      </c>
      <c r="T11" s="23">
        <f t="shared" si="0"/>
        <v>0</v>
      </c>
      <c r="U11" s="45">
        <f>IF(SUM(R11:T11)=0,0,SUM(R11:T11)/'Sm Comm Cust Fcst'!AA12)</f>
        <v>2355.5579875198423</v>
      </c>
    </row>
    <row r="12" spans="1:21">
      <c r="A12" s="155" t="s">
        <v>116</v>
      </c>
      <c r="B12" s="137">
        <f>'Sm Comm Cust Fcst'!$W13*'Non-Residential TSM UC Adj'!B11</f>
        <v>17461.829133932159</v>
      </c>
      <c r="C12" s="23">
        <f>'Sm Comm Cust Fcst'!$W13*'Non-Residential TSM UC Adj'!C11</f>
        <v>1382.6347662265805</v>
      </c>
      <c r="D12" s="23">
        <f>'Sm Comm Cust Fcst'!$W13*0</f>
        <v>0</v>
      </c>
      <c r="E12" s="45">
        <f>IF(SUM(B12:D12)=0,0,SUM(B12:D12)/'Sm Comm Cust Fcst'!W13)</f>
        <v>2355.5579875198423</v>
      </c>
      <c r="F12" s="137">
        <f>'Sm Comm Cust Fcst'!$X13*'Non-Residential TSM UC Adj'!F11</f>
        <v>0</v>
      </c>
      <c r="G12" s="23">
        <f>'Sm Comm Cust Fcst'!$X13*'Non-Residential TSM UC Adj'!G11</f>
        <v>0</v>
      </c>
      <c r="H12" s="23">
        <f>'Sm Comm Cust Fcst'!$X13*0</f>
        <v>0</v>
      </c>
      <c r="I12" s="45">
        <f>IF(SUM(F12:H12)=0,0,SUM(F12:H12)/'Sm Comm Cust Fcst'!X13)</f>
        <v>0</v>
      </c>
      <c r="J12" s="137">
        <f>'Sm Comm Cust Fcst'!$Y13*'Non-Residential TSM UC Adj'!J11</f>
        <v>0</v>
      </c>
      <c r="K12" s="23">
        <f>'Sm Comm Cust Fcst'!$Y13*'Non-Residential TSM UC Adj'!K11</f>
        <v>0</v>
      </c>
      <c r="L12" s="23">
        <f>'Sm Comm Cust Fcst'!$Y13*0</f>
        <v>0</v>
      </c>
      <c r="M12" s="45">
        <f>IF(SUM(J12:L12)=0,0,SUM(J12:L12)/'Sm Comm Cust Fcst'!Y13)</f>
        <v>0</v>
      </c>
      <c r="N12" s="137">
        <f>'Sm Comm Cust Fcst'!$Z13*'Non-Residential TSM UC Adj'!N11</f>
        <v>0</v>
      </c>
      <c r="O12" s="23">
        <f>'Sm Comm Cust Fcst'!$Z13*'Non-Residential TSM UC Adj'!O11</f>
        <v>0</v>
      </c>
      <c r="P12" s="23">
        <f>'Sm Comm Cust Fcst'!$Z13*0</f>
        <v>0</v>
      </c>
      <c r="Q12" s="23">
        <f>IF(SUM(N12:P12)=0,0,SUM(N12:P12)/'Sm Comm Cust Fcst'!Z13)</f>
        <v>0</v>
      </c>
      <c r="R12" s="137">
        <f t="shared" si="1"/>
        <v>17461.829133932159</v>
      </c>
      <c r="S12" s="23">
        <f t="shared" si="0"/>
        <v>1382.6347662265805</v>
      </c>
      <c r="T12" s="23">
        <f t="shared" si="0"/>
        <v>0</v>
      </c>
      <c r="U12" s="45">
        <f>IF(SUM(R12:T12)=0,0,SUM(R12:T12)/'Sm Comm Cust Fcst'!AA13)</f>
        <v>2355.5579875198423</v>
      </c>
    </row>
    <row r="13" spans="1:21">
      <c r="A13" s="155" t="s">
        <v>8</v>
      </c>
      <c r="B13" s="137">
        <f>'Sm Comm Cust Fcst'!$W14*'Non-Residential TSM UC Adj'!B12</f>
        <v>32830.655149051454</v>
      </c>
      <c r="C13" s="23">
        <f>'Sm Comm Cust Fcst'!$W14*'Non-Residential TSM UC Adj'!C12</f>
        <v>2916.6755162583631</v>
      </c>
      <c r="D13" s="23">
        <f>'Sm Comm Cust Fcst'!$W14*0</f>
        <v>0</v>
      </c>
      <c r="E13" s="45">
        <f>IF(SUM(B13:D13)=0,0,SUM(B13:D13)/'Sm Comm Cust Fcst'!W14)</f>
        <v>5106.761523615688</v>
      </c>
      <c r="F13" s="137">
        <f>'Sm Comm Cust Fcst'!$X14*'Non-Residential TSM UC Adj'!F12</f>
        <v>0</v>
      </c>
      <c r="G13" s="23">
        <f>'Sm Comm Cust Fcst'!$X14*'Non-Residential TSM UC Adj'!G12</f>
        <v>0</v>
      </c>
      <c r="H13" s="23">
        <f>'Sm Comm Cust Fcst'!$X14*0</f>
        <v>0</v>
      </c>
      <c r="I13" s="45">
        <f>IF(SUM(F13:H13)=0,0,SUM(F13:H13)/'Sm Comm Cust Fcst'!X14)</f>
        <v>0</v>
      </c>
      <c r="J13" s="137">
        <f>'Sm Comm Cust Fcst'!$Y14*'Non-Residential TSM UC Adj'!J12</f>
        <v>0</v>
      </c>
      <c r="K13" s="23">
        <f>'Sm Comm Cust Fcst'!$Y14*'Non-Residential TSM UC Adj'!K12</f>
        <v>0</v>
      </c>
      <c r="L13" s="23">
        <f>'Sm Comm Cust Fcst'!$Y14*0</f>
        <v>0</v>
      </c>
      <c r="M13" s="45">
        <f>IF(SUM(J13:L13)=0,0,SUM(J13:L13)/'Sm Comm Cust Fcst'!Y14)</f>
        <v>0</v>
      </c>
      <c r="N13" s="137">
        <f>'Sm Comm Cust Fcst'!$Z14*'Non-Residential TSM UC Adj'!N12</f>
        <v>0</v>
      </c>
      <c r="O13" s="23">
        <f>'Sm Comm Cust Fcst'!$Z14*'Non-Residential TSM UC Adj'!O12</f>
        <v>0</v>
      </c>
      <c r="P13" s="23">
        <f>'Sm Comm Cust Fcst'!$Z14*0</f>
        <v>0</v>
      </c>
      <c r="Q13" s="23">
        <f>IF(SUM(N13:P13)=0,0,SUM(N13:P13)/'Sm Comm Cust Fcst'!Z14)</f>
        <v>0</v>
      </c>
      <c r="R13" s="137">
        <f t="shared" si="1"/>
        <v>32830.655149051454</v>
      </c>
      <c r="S13" s="23">
        <f t="shared" si="0"/>
        <v>2916.6755162583631</v>
      </c>
      <c r="T13" s="23">
        <f t="shared" si="0"/>
        <v>0</v>
      </c>
      <c r="U13" s="45">
        <f>IF(SUM(R13:T13)=0,0,SUM(R13:T13)/'Sm Comm Cust Fcst'!AA14)</f>
        <v>5106.761523615688</v>
      </c>
    </row>
    <row r="14" spans="1:21">
      <c r="A14" s="155" t="s">
        <v>9</v>
      </c>
      <c r="B14" s="137">
        <f>'Sm Comm Cust Fcst'!$W15*'Non-Residential TSM UC Adj'!B13</f>
        <v>0</v>
      </c>
      <c r="C14" s="23">
        <f>'Sm Comm Cust Fcst'!$W15*'Non-Residential TSM UC Adj'!C13</f>
        <v>0</v>
      </c>
      <c r="D14" s="23">
        <f>'Sm Comm Cust Fcst'!$W15*0</f>
        <v>0</v>
      </c>
      <c r="E14" s="45">
        <f>IF(SUM(B14:D14)=0,0,SUM(B14:D14)/'Sm Comm Cust Fcst'!W15)</f>
        <v>0</v>
      </c>
      <c r="F14" s="137">
        <f>'Sm Comm Cust Fcst'!$X15*'Non-Residential TSM UC Adj'!F13</f>
        <v>0</v>
      </c>
      <c r="G14" s="23">
        <f>'Sm Comm Cust Fcst'!$X15*'Non-Residential TSM UC Adj'!G13</f>
        <v>0</v>
      </c>
      <c r="H14" s="23">
        <f>'Sm Comm Cust Fcst'!$X15*0</f>
        <v>0</v>
      </c>
      <c r="I14" s="45">
        <f>IF(SUM(F14:H14)=0,0,SUM(F14:H14)/'Sm Comm Cust Fcst'!X15)</f>
        <v>0</v>
      </c>
      <c r="J14" s="137">
        <f>'Sm Comm Cust Fcst'!$Y15*'Non-Residential TSM UC Adj'!J13</f>
        <v>0</v>
      </c>
      <c r="K14" s="23">
        <f>'Sm Comm Cust Fcst'!$Y15*'Non-Residential TSM UC Adj'!K13</f>
        <v>0</v>
      </c>
      <c r="L14" s="23">
        <f>'Sm Comm Cust Fcst'!$Y15*0</f>
        <v>0</v>
      </c>
      <c r="M14" s="45">
        <f>IF(SUM(J14:L14)=0,0,SUM(J14:L14)/'Sm Comm Cust Fcst'!Y15)</f>
        <v>0</v>
      </c>
      <c r="N14" s="137">
        <f>'Sm Comm Cust Fcst'!$Z15*'Non-Residential TSM UC Adj'!N13</f>
        <v>0</v>
      </c>
      <c r="O14" s="23">
        <f>'Sm Comm Cust Fcst'!$Z15*'Non-Residential TSM UC Adj'!O13</f>
        <v>0</v>
      </c>
      <c r="P14" s="23">
        <f>'Sm Comm Cust Fcst'!$Z15*0</f>
        <v>0</v>
      </c>
      <c r="Q14" s="23">
        <f>IF(SUM(N14:P14)=0,0,SUM(N14:P14)/'Sm Comm Cust Fcst'!Z15)</f>
        <v>0</v>
      </c>
      <c r="R14" s="137">
        <f t="shared" si="1"/>
        <v>0</v>
      </c>
      <c r="S14" s="23">
        <f t="shared" si="0"/>
        <v>0</v>
      </c>
      <c r="T14" s="23">
        <f t="shared" si="0"/>
        <v>0</v>
      </c>
      <c r="U14" s="45">
        <f>IF(SUM(R14:T14)=0,0,SUM(R14:T14)/'Sm Comm Cust Fcst'!AA15)</f>
        <v>0</v>
      </c>
    </row>
    <row r="15" spans="1:21">
      <c r="A15" s="155" t="s">
        <v>10</v>
      </c>
      <c r="B15" s="137">
        <f>'Sm Comm Cust Fcst'!$W16*'Non-Residential TSM UC Adj'!B14</f>
        <v>9872.4131189322979</v>
      </c>
      <c r="C15" s="23">
        <f>'Sm Comm Cust Fcst'!$W16*'Non-Residential TSM UC Adj'!C14</f>
        <v>2552.744894132612</v>
      </c>
      <c r="D15" s="23">
        <f>'Sm Comm Cust Fcst'!$W16*0</f>
        <v>0</v>
      </c>
      <c r="E15" s="45">
        <f>IF(SUM(B15:D15)=0,0,SUM(B15:D15)/'Sm Comm Cust Fcst'!W16)</f>
        <v>6212.5790065324545</v>
      </c>
      <c r="F15" s="137">
        <f>'Sm Comm Cust Fcst'!$X16*'Non-Residential TSM UC Adj'!F14</f>
        <v>0</v>
      </c>
      <c r="G15" s="23">
        <f>'Sm Comm Cust Fcst'!$X16*'Non-Residential TSM UC Adj'!G14</f>
        <v>0</v>
      </c>
      <c r="H15" s="23">
        <f>'Sm Comm Cust Fcst'!$X16*0</f>
        <v>0</v>
      </c>
      <c r="I15" s="45">
        <f>IF(SUM(F15:H15)=0,0,SUM(F15:H15)/'Sm Comm Cust Fcst'!X16)</f>
        <v>0</v>
      </c>
      <c r="J15" s="137">
        <f>'Sm Comm Cust Fcst'!$Y16*'Non-Residential TSM UC Adj'!J14</f>
        <v>0</v>
      </c>
      <c r="K15" s="23">
        <f>'Sm Comm Cust Fcst'!$Y16*'Non-Residential TSM UC Adj'!K14</f>
        <v>0</v>
      </c>
      <c r="L15" s="23">
        <f>'Sm Comm Cust Fcst'!$Y16*0</f>
        <v>0</v>
      </c>
      <c r="M15" s="45">
        <f>IF(SUM(J15:L15)=0,0,SUM(J15:L15)/'Sm Comm Cust Fcst'!Y16)</f>
        <v>0</v>
      </c>
      <c r="N15" s="137">
        <f>'Sm Comm Cust Fcst'!$Z16*'Non-Residential TSM UC Adj'!N14</f>
        <v>0</v>
      </c>
      <c r="O15" s="23">
        <f>'Sm Comm Cust Fcst'!$Z16*'Non-Residential TSM UC Adj'!O14</f>
        <v>0</v>
      </c>
      <c r="P15" s="23">
        <f>'Sm Comm Cust Fcst'!$Z16*0</f>
        <v>0</v>
      </c>
      <c r="Q15" s="23">
        <f>IF(SUM(N15:P15)=0,0,SUM(N15:P15)/'Sm Comm Cust Fcst'!Z16)</f>
        <v>0</v>
      </c>
      <c r="R15" s="137">
        <f t="shared" si="1"/>
        <v>9872.4131189322979</v>
      </c>
      <c r="S15" s="23">
        <f t="shared" si="0"/>
        <v>2552.744894132612</v>
      </c>
      <c r="T15" s="23">
        <f t="shared" si="0"/>
        <v>0</v>
      </c>
      <c r="U15" s="45">
        <f>IF(SUM(R15:T15)=0,0,SUM(R15:T15)/'Sm Comm Cust Fcst'!AA16)</f>
        <v>6212.5790065324545</v>
      </c>
    </row>
    <row r="16" spans="1:21">
      <c r="A16" s="155" t="s">
        <v>11</v>
      </c>
      <c r="B16" s="137">
        <f>'Sm Comm Cust Fcst'!$W17*'Non-Residential TSM UC Adj'!B15</f>
        <v>0</v>
      </c>
      <c r="C16" s="23">
        <f>'Sm Comm Cust Fcst'!$W17*'Non-Residential TSM UC Adj'!C15</f>
        <v>0</v>
      </c>
      <c r="D16" s="23">
        <f>'Sm Comm Cust Fcst'!$W17*0</f>
        <v>0</v>
      </c>
      <c r="E16" s="45">
        <f>IF(SUM(B16:D16)=0,0,SUM(B16:D16)/'Sm Comm Cust Fcst'!W17)</f>
        <v>0</v>
      </c>
      <c r="F16" s="137">
        <f>'Sm Comm Cust Fcst'!$X17*'Non-Residential TSM UC Adj'!F15</f>
        <v>0</v>
      </c>
      <c r="G16" s="23">
        <f>'Sm Comm Cust Fcst'!$X17*'Non-Residential TSM UC Adj'!G15</f>
        <v>0</v>
      </c>
      <c r="H16" s="23">
        <f>'Sm Comm Cust Fcst'!$X17*0</f>
        <v>0</v>
      </c>
      <c r="I16" s="45">
        <f>IF(SUM(F16:H16)=0,0,SUM(F16:H16)/'Sm Comm Cust Fcst'!X17)</f>
        <v>0</v>
      </c>
      <c r="J16" s="137">
        <f>'Sm Comm Cust Fcst'!$Y17*'Non-Residential TSM UC Adj'!J15</f>
        <v>0</v>
      </c>
      <c r="K16" s="23">
        <f>'Sm Comm Cust Fcst'!$Y17*'Non-Residential TSM UC Adj'!K15</f>
        <v>0</v>
      </c>
      <c r="L16" s="23">
        <f>'Sm Comm Cust Fcst'!$Y17*0</f>
        <v>0</v>
      </c>
      <c r="M16" s="45">
        <f>IF(SUM(J16:L16)=0,0,SUM(J16:L16)/'Sm Comm Cust Fcst'!Y17)</f>
        <v>0</v>
      </c>
      <c r="N16" s="137">
        <f>'Sm Comm Cust Fcst'!$Z17*'Non-Residential TSM UC Adj'!N15</f>
        <v>0</v>
      </c>
      <c r="O16" s="23">
        <f>'Sm Comm Cust Fcst'!$Z17*'Non-Residential TSM UC Adj'!O15</f>
        <v>0</v>
      </c>
      <c r="P16" s="23">
        <f>'Sm Comm Cust Fcst'!$Z17*0</f>
        <v>0</v>
      </c>
      <c r="Q16" s="23">
        <f>IF(SUM(N16:P16)=0,0,SUM(N16:P16)/'Sm Comm Cust Fcst'!Z17)</f>
        <v>0</v>
      </c>
      <c r="R16" s="137">
        <f t="shared" si="1"/>
        <v>0</v>
      </c>
      <c r="S16" s="23">
        <f t="shared" si="0"/>
        <v>0</v>
      </c>
      <c r="T16" s="23">
        <f t="shared" si="0"/>
        <v>0</v>
      </c>
      <c r="U16" s="45">
        <f>IF(SUM(R16:T16)=0,0,SUM(R16:T16)/'Sm Comm Cust Fcst'!AA17)</f>
        <v>0</v>
      </c>
    </row>
    <row r="17" spans="1:21">
      <c r="A17" s="155" t="s">
        <v>120</v>
      </c>
      <c r="B17" s="137">
        <f>'Sm Comm Cust Fcst'!$W18*'Non-Residential TSM UC Adj'!B16</f>
        <v>0</v>
      </c>
      <c r="C17" s="23">
        <f>'Sm Comm Cust Fcst'!$W18*'Non-Residential TSM UC Adj'!C16</f>
        <v>0</v>
      </c>
      <c r="D17" s="23">
        <f>'Sm Comm Cust Fcst'!$W18*0</f>
        <v>0</v>
      </c>
      <c r="E17" s="45">
        <f>IF(SUM(B17:D17)=0,0,SUM(B17:D17)/'Sm Comm Cust Fcst'!W18)</f>
        <v>0</v>
      </c>
      <c r="F17" s="137">
        <f>'Sm Comm Cust Fcst'!$X18*'Non-Residential TSM UC Adj'!F16</f>
        <v>0</v>
      </c>
      <c r="G17" s="23">
        <f>'Sm Comm Cust Fcst'!$X18*'Non-Residential TSM UC Adj'!G16</f>
        <v>0</v>
      </c>
      <c r="H17" s="23">
        <f>'Sm Comm Cust Fcst'!$X18*0</f>
        <v>0</v>
      </c>
      <c r="I17" s="45">
        <f>IF(SUM(F17:H17)=0,0,SUM(F17:H17)/'Sm Comm Cust Fcst'!X18)</f>
        <v>0</v>
      </c>
      <c r="J17" s="137">
        <f>'Sm Comm Cust Fcst'!$Y18*'Non-Residential TSM UC Adj'!J16</f>
        <v>0</v>
      </c>
      <c r="K17" s="23">
        <f>'Sm Comm Cust Fcst'!$Y18*'Non-Residential TSM UC Adj'!K16</f>
        <v>0</v>
      </c>
      <c r="L17" s="23">
        <f>'Sm Comm Cust Fcst'!$Y18*0</f>
        <v>0</v>
      </c>
      <c r="M17" s="45">
        <f>IF(SUM(J17:L17)=0,0,SUM(J17:L17)/'Sm Comm Cust Fcst'!Y18)</f>
        <v>0</v>
      </c>
      <c r="N17" s="137">
        <f>'Sm Comm Cust Fcst'!$Z18*'Non-Residential TSM UC Adj'!N16</f>
        <v>0</v>
      </c>
      <c r="O17" s="23">
        <f>'Sm Comm Cust Fcst'!$Z18*'Non-Residential TSM UC Adj'!O16</f>
        <v>0</v>
      </c>
      <c r="P17" s="23">
        <f>'Sm Comm Cust Fcst'!$Z18*0</f>
        <v>0</v>
      </c>
      <c r="Q17" s="23">
        <f>IF(SUM(N17:P17)=0,0,SUM(N17:P17)/'Sm Comm Cust Fcst'!Z18)</f>
        <v>0</v>
      </c>
      <c r="R17" s="137">
        <f t="shared" si="1"/>
        <v>0</v>
      </c>
      <c r="S17" s="23">
        <f t="shared" si="0"/>
        <v>0</v>
      </c>
      <c r="T17" s="23">
        <f t="shared" si="0"/>
        <v>0</v>
      </c>
      <c r="U17" s="45">
        <f>IF(SUM(R17:T17)=0,0,SUM(R17:T17)/'Sm Comm Cust Fcst'!AA18)</f>
        <v>0</v>
      </c>
    </row>
    <row r="18" spans="1:21">
      <c r="A18" s="155" t="s">
        <v>121</v>
      </c>
      <c r="B18" s="137">
        <f>'Sm Comm Cust Fcst'!$W19*'Non-Residential TSM UC Adj'!J17</f>
        <v>0</v>
      </c>
      <c r="C18" s="23">
        <f>'Sm Comm Cust Fcst'!$W19*'Non-Residential TSM UC Adj'!K17</f>
        <v>0</v>
      </c>
      <c r="D18" s="23">
        <f>'Sm Comm Cust Fcst'!$W19*0</f>
        <v>0</v>
      </c>
      <c r="E18" s="45">
        <f>IF(SUM(B18:D18)=0,0,SUM(B18:D18)/'Sm Comm Cust Fcst'!W19)</f>
        <v>0</v>
      </c>
      <c r="F18" s="137">
        <f>'Sm Comm Cust Fcst'!$X19*'Non-Residential TSM UC Adj'!F17</f>
        <v>0</v>
      </c>
      <c r="G18" s="23">
        <f>'Sm Comm Cust Fcst'!$X19*'Non-Residential TSM UC Adj'!G17</f>
        <v>0</v>
      </c>
      <c r="H18" s="23">
        <f>'Sm Comm Cust Fcst'!$X19*0</f>
        <v>0</v>
      </c>
      <c r="I18" s="45">
        <f>IF(SUM(F18:H18)=0,0,SUM(F18:H18)/'Sm Comm Cust Fcst'!X19)</f>
        <v>0</v>
      </c>
      <c r="J18" s="137">
        <f>'Sm Comm Cust Fcst'!$Y19*'Non-Residential TSM UC Adj'!J17</f>
        <v>0</v>
      </c>
      <c r="K18" s="23">
        <f>'Sm Comm Cust Fcst'!$Y19*'Non-Residential TSM UC Adj'!K17</f>
        <v>0</v>
      </c>
      <c r="L18" s="23">
        <f>'Sm Comm Cust Fcst'!$Y19*0</f>
        <v>0</v>
      </c>
      <c r="M18" s="45">
        <f>IF(SUM(J18:L18)=0,0,SUM(J18:L18)/'Sm Comm Cust Fcst'!Y19)</f>
        <v>0</v>
      </c>
      <c r="N18" s="137">
        <f>'Sm Comm Cust Fcst'!$Z19*'Non-Residential TSM UC Adj'!N17</f>
        <v>0</v>
      </c>
      <c r="O18" s="23">
        <f>'Sm Comm Cust Fcst'!$Z19*'Non-Residential TSM UC Adj'!O17</f>
        <v>0</v>
      </c>
      <c r="P18" s="23">
        <f>'Sm Comm Cust Fcst'!$Z19*0</f>
        <v>0</v>
      </c>
      <c r="Q18" s="23">
        <f>IF(SUM(N18:P18)=0,0,SUM(N18:P18)/'Sm Comm Cust Fcst'!Z19)</f>
        <v>0</v>
      </c>
      <c r="R18" s="137">
        <f t="shared" si="1"/>
        <v>0</v>
      </c>
      <c r="S18" s="23">
        <f t="shared" si="0"/>
        <v>0</v>
      </c>
      <c r="T18" s="23">
        <f t="shared" si="0"/>
        <v>0</v>
      </c>
      <c r="U18" s="45">
        <f>IF(SUM(R18:T18)=0,0,SUM(R18:T18)/'Sm Comm Cust Fcst'!AA19)</f>
        <v>0</v>
      </c>
    </row>
    <row r="19" spans="1:21">
      <c r="A19" s="155" t="s">
        <v>12</v>
      </c>
      <c r="B19" s="137">
        <f>'Sm Comm Cust Fcst'!$W20*'Non-Residential TSM UC Adj'!J18</f>
        <v>0</v>
      </c>
      <c r="C19" s="23">
        <f>'Sm Comm Cust Fcst'!$W20*'Non-Residential TSM UC Adj'!K18</f>
        <v>0</v>
      </c>
      <c r="D19" s="23">
        <f>'Sm Comm Cust Fcst'!$W20*0</f>
        <v>0</v>
      </c>
      <c r="E19" s="45">
        <f>IF(SUM(B19:D19)=0,0,SUM(B19:D19)/'Sm Comm Cust Fcst'!W20)</f>
        <v>0</v>
      </c>
      <c r="F19" s="137">
        <f>'Sm Comm Cust Fcst'!$X20*'Non-Residential TSM UC Adj'!J18</f>
        <v>0</v>
      </c>
      <c r="G19" s="23">
        <f>'Sm Comm Cust Fcst'!$X20*'Non-Residential TSM UC Adj'!K18</f>
        <v>0</v>
      </c>
      <c r="H19" s="23">
        <f>'Sm Comm Cust Fcst'!$X20*0</f>
        <v>0</v>
      </c>
      <c r="I19" s="45">
        <f>IF(SUM(F19:H19)=0,0,SUM(F19:H19)/'Sm Comm Cust Fcst'!X20)</f>
        <v>0</v>
      </c>
      <c r="J19" s="137">
        <f>'Sm Comm Cust Fcst'!$Y20*'Non-Residential TSM UC Adj'!J18</f>
        <v>0</v>
      </c>
      <c r="K19" s="23">
        <f>'Sm Comm Cust Fcst'!$Y20*'Non-Residential TSM UC Adj'!K18</f>
        <v>0</v>
      </c>
      <c r="L19" s="23">
        <f>'Sm Comm Cust Fcst'!$Y20*0</f>
        <v>0</v>
      </c>
      <c r="M19" s="45">
        <f>IF(SUM(J19:L19)=0,0,SUM(J19:L19)/'Sm Comm Cust Fcst'!Y20)</f>
        <v>0</v>
      </c>
      <c r="N19" s="137">
        <f>'Sm Comm Cust Fcst'!$Z20*'Non-Residential TSM UC Adj'!N18</f>
        <v>0</v>
      </c>
      <c r="O19" s="23">
        <f>'Sm Comm Cust Fcst'!$Z20*'Non-Residential TSM UC Adj'!O18</f>
        <v>0</v>
      </c>
      <c r="P19" s="23">
        <f>'Sm Comm Cust Fcst'!$Z20*0</f>
        <v>0</v>
      </c>
      <c r="Q19" s="23">
        <f>IF(SUM(N19:P19)=0,0,SUM(N19:P19)/'Sm Comm Cust Fcst'!Z20)</f>
        <v>0</v>
      </c>
      <c r="R19" s="137">
        <f t="shared" si="1"/>
        <v>0</v>
      </c>
      <c r="S19" s="23">
        <f t="shared" si="0"/>
        <v>0</v>
      </c>
      <c r="T19" s="23">
        <f t="shared" si="0"/>
        <v>0</v>
      </c>
      <c r="U19" s="45">
        <f>IF(SUM(R19:T19)=0,0,SUM(R19:T19)/'Sm Comm Cust Fcst'!AA20)</f>
        <v>0</v>
      </c>
    </row>
    <row r="20" spans="1:21">
      <c r="A20" s="155" t="s">
        <v>13</v>
      </c>
      <c r="B20" s="137">
        <f>'Sm Comm Cust Fcst'!$W21*'Non-Residential TSM UC Adj'!J19</f>
        <v>0</v>
      </c>
      <c r="C20" s="23">
        <f>'Sm Comm Cust Fcst'!$W21*'Non-Residential TSM UC Adj'!K19</f>
        <v>0</v>
      </c>
      <c r="D20" s="23">
        <f>'Sm Comm Cust Fcst'!$W21*0</f>
        <v>0</v>
      </c>
      <c r="E20" s="45">
        <f>IF(SUM(B20:D20)=0,0,SUM(B20:D20)/'Sm Comm Cust Fcst'!W21)</f>
        <v>0</v>
      </c>
      <c r="F20" s="137">
        <f>'Sm Comm Cust Fcst'!$X21*'Non-Residential TSM UC Adj'!J19</f>
        <v>0</v>
      </c>
      <c r="G20" s="23">
        <f>'Sm Comm Cust Fcst'!$X21*'Non-Residential TSM UC Adj'!K19</f>
        <v>0</v>
      </c>
      <c r="H20" s="23">
        <f>'Sm Comm Cust Fcst'!$X21*0</f>
        <v>0</v>
      </c>
      <c r="I20" s="45">
        <f>IF(SUM(F20:H20)=0,0,SUM(F20:H20)/'Sm Comm Cust Fcst'!X21)</f>
        <v>0</v>
      </c>
      <c r="J20" s="137">
        <f>'Sm Comm Cust Fcst'!$Y21*'Non-Residential TSM UC Adj'!J19</f>
        <v>0</v>
      </c>
      <c r="K20" s="23">
        <f>'Sm Comm Cust Fcst'!$Y21*'Non-Residential TSM UC Adj'!K19</f>
        <v>0</v>
      </c>
      <c r="L20" s="23">
        <f>'Sm Comm Cust Fcst'!$Y21*0</f>
        <v>0</v>
      </c>
      <c r="M20" s="45">
        <f>IF(SUM(J20:L20)=0,0,SUM(J20:L20)/'Sm Comm Cust Fcst'!Y21)</f>
        <v>0</v>
      </c>
      <c r="N20" s="137">
        <f>'Sm Comm Cust Fcst'!$Z21*'Non-Residential TSM UC Adj'!N19</f>
        <v>0</v>
      </c>
      <c r="O20" s="23">
        <f>'Sm Comm Cust Fcst'!$Z21*'Non-Residential TSM UC Adj'!O19</f>
        <v>0</v>
      </c>
      <c r="P20" s="23">
        <f>'Sm Comm Cust Fcst'!$Z21*0</f>
        <v>0</v>
      </c>
      <c r="Q20" s="23">
        <f>IF(SUM(N20:P20)=0,0,SUM(N20:P20)/'Sm Comm Cust Fcst'!Z21)</f>
        <v>0</v>
      </c>
      <c r="R20" s="137">
        <f t="shared" si="1"/>
        <v>0</v>
      </c>
      <c r="S20" s="23">
        <f t="shared" si="0"/>
        <v>0</v>
      </c>
      <c r="T20" s="23">
        <f t="shared" si="0"/>
        <v>0</v>
      </c>
      <c r="U20" s="45">
        <f>IF(SUM(R20:T20)=0,0,SUM(R20:T20)/'Sm Comm Cust Fcst'!AA21)</f>
        <v>0</v>
      </c>
    </row>
    <row r="21" spans="1:21">
      <c r="A21" s="155" t="s">
        <v>122</v>
      </c>
      <c r="B21" s="137">
        <f>'Sm Comm Cust Fcst'!$W22*'Non-Residential TSM UC Adj'!J20</f>
        <v>16768.219224341061</v>
      </c>
      <c r="C21" s="23">
        <f>'Sm Comm Cust Fcst'!$W22*'Non-Residential TSM UC Adj'!K20</f>
        <v>9498.5730152662527</v>
      </c>
      <c r="D21" s="23">
        <f>'Sm Comm Cust Fcst'!$W22*0</f>
        <v>0</v>
      </c>
      <c r="E21" s="45">
        <f>IF(SUM(B21:D21)=0,0,SUM(B21:D21)/'Sm Comm Cust Fcst'!W22)</f>
        <v>26266.792239607312</v>
      </c>
      <c r="F21" s="137">
        <f>'Sm Comm Cust Fcst'!$X22*'Non-Residential TSM UC Adj'!J20</f>
        <v>0</v>
      </c>
      <c r="G21" s="23">
        <f>'Sm Comm Cust Fcst'!$X22*'Non-Residential TSM UC Adj'!K20</f>
        <v>0</v>
      </c>
      <c r="H21" s="23">
        <f>'Sm Comm Cust Fcst'!$X22*0</f>
        <v>0</v>
      </c>
      <c r="I21" s="45">
        <f>IF(SUM(F21:H21)=0,0,SUM(F21:H21)/'Sm Comm Cust Fcst'!X22)</f>
        <v>0</v>
      </c>
      <c r="J21" s="137">
        <f>'Sm Comm Cust Fcst'!$Y22*'Non-Residential TSM UC Adj'!J20</f>
        <v>0</v>
      </c>
      <c r="K21" s="23">
        <f>'Sm Comm Cust Fcst'!$Y22*'Non-Residential TSM UC Adj'!K20</f>
        <v>0</v>
      </c>
      <c r="L21" s="23">
        <f>'Sm Comm Cust Fcst'!$Y22*0</f>
        <v>0</v>
      </c>
      <c r="M21" s="45">
        <f>IF(SUM(J21:L21)=0,0,SUM(J21:L21)/'Sm Comm Cust Fcst'!Y22)</f>
        <v>0</v>
      </c>
      <c r="N21" s="137">
        <f>'Sm Comm Cust Fcst'!$Z22*'Non-Residential TSM UC Adj'!N20</f>
        <v>0</v>
      </c>
      <c r="O21" s="23">
        <f>'Sm Comm Cust Fcst'!$Z22*'Non-Residential TSM UC Adj'!O20</f>
        <v>0</v>
      </c>
      <c r="P21" s="23">
        <f>'Sm Comm Cust Fcst'!$Z22*0</f>
        <v>0</v>
      </c>
      <c r="Q21" s="23">
        <f>IF(SUM(N21:P21)=0,0,SUM(N21:P21)/'Sm Comm Cust Fcst'!Z22)</f>
        <v>0</v>
      </c>
      <c r="R21" s="137">
        <f t="shared" si="1"/>
        <v>16768.219224341061</v>
      </c>
      <c r="S21" s="23">
        <f t="shared" si="0"/>
        <v>9498.5730152662527</v>
      </c>
      <c r="T21" s="23">
        <f t="shared" si="0"/>
        <v>0</v>
      </c>
      <c r="U21" s="45">
        <f>IF(SUM(R21:T21)=0,0,SUM(R21:T21)/'Sm Comm Cust Fcst'!AA22)</f>
        <v>26266.792239607312</v>
      </c>
    </row>
    <row r="22" spans="1:21">
      <c r="A22" s="155" t="s">
        <v>123</v>
      </c>
      <c r="B22" s="137">
        <f>'Sm Comm Cust Fcst'!$W23*'Non-Residential TSM UC Adj'!J21</f>
        <v>0</v>
      </c>
      <c r="C22" s="23">
        <f>'Sm Comm Cust Fcst'!$W23*'Non-Residential TSM UC Adj'!K21</f>
        <v>0</v>
      </c>
      <c r="D22" s="23">
        <f>'Sm Comm Cust Fcst'!$W23*0</f>
        <v>0</v>
      </c>
      <c r="E22" s="45">
        <f>IF(SUM(B22:D22)=0,0,SUM(B22:D22)/'Sm Comm Cust Fcst'!W23)</f>
        <v>0</v>
      </c>
      <c r="F22" s="137">
        <f>'Sm Comm Cust Fcst'!$X23*'Non-Residential TSM UC Adj'!J21</f>
        <v>0</v>
      </c>
      <c r="G22" s="23">
        <f>'Sm Comm Cust Fcst'!$X23*'Non-Residential TSM UC Adj'!K21</f>
        <v>0</v>
      </c>
      <c r="H22" s="23">
        <f>'Sm Comm Cust Fcst'!$X23*0</f>
        <v>0</v>
      </c>
      <c r="I22" s="45">
        <f>IF(SUM(F22:H22)=0,0,SUM(F22:H22)/'Sm Comm Cust Fcst'!X23)</f>
        <v>0</v>
      </c>
      <c r="J22" s="137">
        <f>'Sm Comm Cust Fcst'!$Y23*'Non-Residential TSM UC Adj'!J21</f>
        <v>0</v>
      </c>
      <c r="K22" s="23">
        <f>'Sm Comm Cust Fcst'!$Y23*'Non-Residential TSM UC Adj'!K21</f>
        <v>0</v>
      </c>
      <c r="L22" s="23">
        <f>'Sm Comm Cust Fcst'!$Y23*0</f>
        <v>0</v>
      </c>
      <c r="M22" s="45">
        <f>IF(SUM(J22:L22)=0,0,SUM(J22:L22)/'Sm Comm Cust Fcst'!Y23)</f>
        <v>0</v>
      </c>
      <c r="N22" s="137">
        <f>'Sm Comm Cust Fcst'!$Z23*'Non-Residential TSM UC Adj'!N21</f>
        <v>0</v>
      </c>
      <c r="O22" s="23">
        <f>'Sm Comm Cust Fcst'!$Z23*'Non-Residential TSM UC Adj'!O21</f>
        <v>0</v>
      </c>
      <c r="P22" s="23">
        <f>'Sm Comm Cust Fcst'!$Z23*0</f>
        <v>0</v>
      </c>
      <c r="Q22" s="23">
        <f>IF(SUM(N22:P22)=0,0,SUM(N22:P22)/'Sm Comm Cust Fcst'!Z23)</f>
        <v>0</v>
      </c>
      <c r="R22" s="137">
        <f t="shared" si="1"/>
        <v>0</v>
      </c>
      <c r="S22" s="23">
        <f t="shared" si="0"/>
        <v>0</v>
      </c>
      <c r="T22" s="23">
        <f t="shared" si="0"/>
        <v>0</v>
      </c>
      <c r="U22" s="45">
        <f>IF(SUM(R22:T22)=0,0,SUM(R22:T22)/'Sm Comm Cust Fcst'!AA23)</f>
        <v>0</v>
      </c>
    </row>
    <row r="23" spans="1:21">
      <c r="A23" s="153" t="s">
        <v>14</v>
      </c>
      <c r="B23" s="137">
        <f>'Sm Comm Cust Fcst'!$W24*'Non-Residential TSM UC Adj'!J22</f>
        <v>33536.438448682122</v>
      </c>
      <c r="C23" s="23">
        <f>'Sm Comm Cust Fcst'!$W24*'Non-Residential TSM UC Adj'!K22</f>
        <v>12664.764020355004</v>
      </c>
      <c r="D23" s="23">
        <f>'Sm Comm Cust Fcst'!$W24*0</f>
        <v>0</v>
      </c>
      <c r="E23" s="45">
        <f>IF(SUM(B23:D23)=0,0,SUM(B23:D23)/'Sm Comm Cust Fcst'!W24)</f>
        <v>46201.202469037125</v>
      </c>
      <c r="F23" s="137">
        <f>'Sm Comm Cust Fcst'!$X24*'Non-Residential TSM UC Adj'!J22</f>
        <v>0</v>
      </c>
      <c r="G23" s="23">
        <f>'Sm Comm Cust Fcst'!$X24*'Non-Residential TSM UC Adj'!K22</f>
        <v>0</v>
      </c>
      <c r="H23" s="23">
        <f>'Sm Comm Cust Fcst'!$X24*0</f>
        <v>0</v>
      </c>
      <c r="I23" s="45">
        <f>IF(SUM(F23:H23)=0,0,SUM(F23:H23)/'Sm Comm Cust Fcst'!X24)</f>
        <v>0</v>
      </c>
      <c r="J23" s="137">
        <f>'Sm Comm Cust Fcst'!$Y24*'Non-Residential TSM UC Adj'!J22</f>
        <v>0</v>
      </c>
      <c r="K23" s="23">
        <f>'Sm Comm Cust Fcst'!$Y24*'Non-Residential TSM UC Adj'!K22</f>
        <v>0</v>
      </c>
      <c r="L23" s="23">
        <f>'Sm Comm Cust Fcst'!$Y24*0</f>
        <v>0</v>
      </c>
      <c r="M23" s="45">
        <f>IF(SUM(J23:L23)=0,0,SUM(J23:L23)/'Sm Comm Cust Fcst'!Y24)</f>
        <v>0</v>
      </c>
      <c r="N23" s="137">
        <f>'Sm Comm Cust Fcst'!$Z24*'Non-Residential TSM UC Adj'!N22</f>
        <v>0</v>
      </c>
      <c r="O23" s="23">
        <f>'Sm Comm Cust Fcst'!$Z24*'Non-Residential TSM UC Adj'!O22</f>
        <v>0</v>
      </c>
      <c r="P23" s="23">
        <f>'Sm Comm Cust Fcst'!$Z24*0</f>
        <v>0</v>
      </c>
      <c r="Q23" s="23">
        <f>IF(SUM(N23:P23)=0,0,SUM(N23:P23)/'Sm Comm Cust Fcst'!Z24)</f>
        <v>0</v>
      </c>
      <c r="R23" s="137">
        <f t="shared" si="1"/>
        <v>33536.438448682122</v>
      </c>
      <c r="S23" s="23">
        <f t="shared" si="0"/>
        <v>12664.764020355004</v>
      </c>
      <c r="T23" s="23">
        <f t="shared" si="0"/>
        <v>0</v>
      </c>
      <c r="U23" s="45">
        <f>IF(SUM(R23:T23)=0,0,SUM(R23:T23)/'Sm Comm Cust Fcst'!AA24)</f>
        <v>46201.202469037125</v>
      </c>
    </row>
    <row r="24" spans="1:21">
      <c r="A24" s="155" t="s">
        <v>15</v>
      </c>
      <c r="B24" s="137">
        <f>'Sm Comm Cust Fcst'!$W25*'Non-Residential TSM UC Adj'!J23</f>
        <v>0</v>
      </c>
      <c r="C24" s="23">
        <f>'Sm Comm Cust Fcst'!$W25*'Non-Residential TSM UC Adj'!K23</f>
        <v>0</v>
      </c>
      <c r="D24" s="23">
        <f>'Sm Comm Cust Fcst'!$W25*0</f>
        <v>0</v>
      </c>
      <c r="E24" s="45">
        <f>IF(SUM(B24:D24)=0,0,SUM(B24:D24)/'Sm Comm Cust Fcst'!W25)</f>
        <v>0</v>
      </c>
      <c r="F24" s="137">
        <f>'Sm Comm Cust Fcst'!$X25*'Non-Residential TSM UC Adj'!J23</f>
        <v>0</v>
      </c>
      <c r="G24" s="23">
        <f>'Sm Comm Cust Fcst'!$X25*'Non-Residential TSM UC Adj'!K23</f>
        <v>0</v>
      </c>
      <c r="H24" s="23">
        <f>'Sm Comm Cust Fcst'!$X25*0</f>
        <v>0</v>
      </c>
      <c r="I24" s="45">
        <f>IF(SUM(F24:H24)=0,0,SUM(F24:H24)/'Sm Comm Cust Fcst'!X25)</f>
        <v>0</v>
      </c>
      <c r="J24" s="137">
        <f>'Sm Comm Cust Fcst'!$Y25*'Non-Residential TSM UC Adj'!J23</f>
        <v>0</v>
      </c>
      <c r="K24" s="23">
        <f>'Sm Comm Cust Fcst'!$Y25*'Non-Residential TSM UC Adj'!K23</f>
        <v>0</v>
      </c>
      <c r="L24" s="23">
        <f>'Sm Comm Cust Fcst'!$Y25*0</f>
        <v>0</v>
      </c>
      <c r="M24" s="45">
        <f>IF(SUM(J24:L24)=0,0,SUM(J24:L24)/'Sm Comm Cust Fcst'!Y25)</f>
        <v>0</v>
      </c>
      <c r="N24" s="137">
        <f>'Sm Comm Cust Fcst'!$Z25*'Non-Residential TSM UC Adj'!N23</f>
        <v>0</v>
      </c>
      <c r="O24" s="23">
        <f>'Sm Comm Cust Fcst'!$Z25*'Non-Residential TSM UC Adj'!O23</f>
        <v>0</v>
      </c>
      <c r="P24" s="23">
        <f>'Sm Comm Cust Fcst'!$Z25*0</f>
        <v>0</v>
      </c>
      <c r="Q24" s="23">
        <f>IF(SUM(N24:P24)=0,0,SUM(N24:P24)/'Sm Comm Cust Fcst'!Z25)</f>
        <v>0</v>
      </c>
      <c r="R24" s="137">
        <f t="shared" si="1"/>
        <v>0</v>
      </c>
      <c r="S24" s="23">
        <f t="shared" si="1"/>
        <v>0</v>
      </c>
      <c r="T24" s="23">
        <f t="shared" si="1"/>
        <v>0</v>
      </c>
      <c r="U24" s="45">
        <f>IF(SUM(R24:T24)=0,0,SUM(R24:T24)/'Sm Comm Cust Fcst'!AA25)</f>
        <v>0</v>
      </c>
    </row>
    <row r="25" spans="1:21">
      <c r="A25" s="155" t="s">
        <v>16</v>
      </c>
      <c r="B25" s="137">
        <f>'Sm Comm Cust Fcst'!$W26*'Non-Residential TSM UC Adj'!J24</f>
        <v>0</v>
      </c>
      <c r="C25" s="23">
        <f>'Sm Comm Cust Fcst'!$W26*'Non-Residential TSM UC Adj'!K24</f>
        <v>0</v>
      </c>
      <c r="D25" s="23">
        <f>'Sm Comm Cust Fcst'!$W26*0</f>
        <v>0</v>
      </c>
      <c r="E25" s="45">
        <f>IF(SUM(B25:D25)=0,0,SUM(B25:D25)/'Sm Comm Cust Fcst'!W26)</f>
        <v>0</v>
      </c>
      <c r="F25" s="137">
        <f>'Sm Comm Cust Fcst'!$X26*'Non-Residential TSM UC Adj'!J24</f>
        <v>0</v>
      </c>
      <c r="G25" s="23">
        <f>'Sm Comm Cust Fcst'!$X26*'Non-Residential TSM UC Adj'!K24</f>
        <v>0</v>
      </c>
      <c r="H25" s="23">
        <f>'Sm Comm Cust Fcst'!$X26*0</f>
        <v>0</v>
      </c>
      <c r="I25" s="45">
        <f>IF(SUM(F25:H25)=0,0,SUM(F25:H25)/'Sm Comm Cust Fcst'!X26)</f>
        <v>0</v>
      </c>
      <c r="J25" s="137">
        <f>'Sm Comm Cust Fcst'!$Y26*'Non-Residential TSM UC Adj'!J24</f>
        <v>0</v>
      </c>
      <c r="K25" s="23">
        <f>'Sm Comm Cust Fcst'!$Y26*'Non-Residential TSM UC Adj'!K24</f>
        <v>0</v>
      </c>
      <c r="L25" s="23">
        <f>'Sm Comm Cust Fcst'!$Y26*0</f>
        <v>0</v>
      </c>
      <c r="M25" s="45">
        <f>IF(SUM(J25:L25)=0,0,SUM(J25:L25)/'Sm Comm Cust Fcst'!Y26)</f>
        <v>0</v>
      </c>
      <c r="N25" s="137">
        <f>'Sm Comm Cust Fcst'!$Z26*'Non-Residential TSM UC Adj'!N24</f>
        <v>0</v>
      </c>
      <c r="O25" s="23">
        <f>'Sm Comm Cust Fcst'!$Z26*'Non-Residential TSM UC Adj'!O24</f>
        <v>0</v>
      </c>
      <c r="P25" s="23">
        <f>'Sm Comm Cust Fcst'!$Z26*0</f>
        <v>0</v>
      </c>
      <c r="Q25" s="23">
        <f>IF(SUM(N25:P25)=0,0,SUM(N25:P25)/'Sm Comm Cust Fcst'!Z26)</f>
        <v>0</v>
      </c>
      <c r="R25" s="137">
        <f t="shared" si="1"/>
        <v>0</v>
      </c>
      <c r="S25" s="23">
        <f t="shared" si="1"/>
        <v>0</v>
      </c>
      <c r="T25" s="23">
        <f t="shared" si="1"/>
        <v>0</v>
      </c>
      <c r="U25" s="45">
        <f>IF(SUM(R25:T25)=0,0,SUM(R25:T25)/'Sm Comm Cust Fcst'!AA26)</f>
        <v>0</v>
      </c>
    </row>
    <row r="26" spans="1:21">
      <c r="A26" s="155" t="s">
        <v>17</v>
      </c>
      <c r="B26" s="137">
        <f>'Sm Comm Cust Fcst'!$W27*'Non-Residential TSM UC Adj'!J25</f>
        <v>39374.705413198702</v>
      </c>
      <c r="C26" s="23">
        <f>'Sm Comm Cust Fcst'!$W27*'Non-Residential TSM UC Adj'!K25</f>
        <v>28495.71904579876</v>
      </c>
      <c r="D26" s="23">
        <f>'Sm Comm Cust Fcst'!$W27*0</f>
        <v>0</v>
      </c>
      <c r="E26" s="45">
        <f>IF(SUM(B26:D26)=0,0,SUM(B26:D26)/'Sm Comm Cust Fcst'!W27)</f>
        <v>67870.42445899747</v>
      </c>
      <c r="F26" s="137">
        <f>'Sm Comm Cust Fcst'!$X27*'Non-Residential TSM UC Adj'!J25</f>
        <v>0</v>
      </c>
      <c r="G26" s="23">
        <f>'Sm Comm Cust Fcst'!$X27*'Non-Residential TSM UC Adj'!K25</f>
        <v>0</v>
      </c>
      <c r="H26" s="23">
        <f>'Sm Comm Cust Fcst'!$X27*0</f>
        <v>0</v>
      </c>
      <c r="I26" s="45">
        <f>IF(SUM(F26:H26)=0,0,SUM(F26:H26)/'Sm Comm Cust Fcst'!X27)</f>
        <v>0</v>
      </c>
      <c r="J26" s="137">
        <f>'Sm Comm Cust Fcst'!$Y27*'Non-Residential TSM UC Adj'!J25</f>
        <v>0</v>
      </c>
      <c r="K26" s="23">
        <f>'Sm Comm Cust Fcst'!$Y27*'Non-Residential TSM UC Adj'!K25</f>
        <v>0</v>
      </c>
      <c r="L26" s="23">
        <f>'Sm Comm Cust Fcst'!$Y27*0</f>
        <v>0</v>
      </c>
      <c r="M26" s="45">
        <f>IF(SUM(J26:L26)=0,0,SUM(J26:L26)/'Sm Comm Cust Fcst'!Y27)</f>
        <v>0</v>
      </c>
      <c r="N26" s="137">
        <f>'Sm Comm Cust Fcst'!$Z27*'Non-Residential TSM UC Adj'!N25</f>
        <v>0</v>
      </c>
      <c r="O26" s="23">
        <f>'Sm Comm Cust Fcst'!$Z27*'Non-Residential TSM UC Adj'!O25</f>
        <v>0</v>
      </c>
      <c r="P26" s="23">
        <f>'Sm Comm Cust Fcst'!$Z27*0</f>
        <v>0</v>
      </c>
      <c r="Q26" s="23">
        <f>IF(SUM(N26:P26)=0,0,SUM(N26:P26)/'Sm Comm Cust Fcst'!Z27)</f>
        <v>0</v>
      </c>
      <c r="R26" s="137">
        <f t="shared" si="1"/>
        <v>39374.705413198702</v>
      </c>
      <c r="S26" s="23">
        <f t="shared" si="1"/>
        <v>28495.71904579876</v>
      </c>
      <c r="T26" s="23">
        <f t="shared" si="1"/>
        <v>0</v>
      </c>
      <c r="U26" s="45">
        <f>IF(SUM(R26:T26)=0,0,SUM(R26:T26)/'Sm Comm Cust Fcst'!AA27)</f>
        <v>67870.42445899747</v>
      </c>
    </row>
    <row r="27" spans="1:21">
      <c r="A27" s="155" t="s">
        <v>18</v>
      </c>
      <c r="B27" s="137">
        <f>'Sm Comm Cust Fcst'!$W28*'Non-Residential TSM UC Adj'!J26</f>
        <v>0</v>
      </c>
      <c r="C27" s="23">
        <f>'Sm Comm Cust Fcst'!$W28*'Non-Residential TSM UC Adj'!K26</f>
        <v>0</v>
      </c>
      <c r="D27" s="23">
        <f>'Sm Comm Cust Fcst'!$W28*0</f>
        <v>0</v>
      </c>
      <c r="E27" s="45">
        <f>IF(SUM(B27:D27)=0,0,SUM(B27:D27)/'Sm Comm Cust Fcst'!W28)</f>
        <v>0</v>
      </c>
      <c r="F27" s="137">
        <f>'Sm Comm Cust Fcst'!$X28*'Non-Residential TSM UC Adj'!J26</f>
        <v>0</v>
      </c>
      <c r="G27" s="23">
        <f>'Sm Comm Cust Fcst'!$X28*'Non-Residential TSM UC Adj'!K26</f>
        <v>0</v>
      </c>
      <c r="H27" s="23">
        <f>'Sm Comm Cust Fcst'!$X28*0</f>
        <v>0</v>
      </c>
      <c r="I27" s="45">
        <f>IF(SUM(F27:H27)=0,0,SUM(F27:H27)/'Sm Comm Cust Fcst'!X28)</f>
        <v>0</v>
      </c>
      <c r="J27" s="137">
        <f>'Sm Comm Cust Fcst'!$Y28*'Non-Residential TSM UC Adj'!J26</f>
        <v>0</v>
      </c>
      <c r="K27" s="23">
        <f>'Sm Comm Cust Fcst'!$Y28*'Non-Residential TSM UC Adj'!K26</f>
        <v>0</v>
      </c>
      <c r="L27" s="23">
        <f>'Sm Comm Cust Fcst'!$Y28*0</f>
        <v>0</v>
      </c>
      <c r="M27" s="45">
        <f>IF(SUM(J27:L27)=0,0,SUM(J27:L27)/'Sm Comm Cust Fcst'!Y28)</f>
        <v>0</v>
      </c>
      <c r="N27" s="137">
        <f>'Sm Comm Cust Fcst'!$Z28*'Non-Residential TSM UC Adj'!N26</f>
        <v>0</v>
      </c>
      <c r="O27" s="23">
        <f>'Sm Comm Cust Fcst'!$Z28*'Non-Residential TSM UC Adj'!O26</f>
        <v>0</v>
      </c>
      <c r="P27" s="23">
        <f>'Sm Comm Cust Fcst'!$Z28*0</f>
        <v>0</v>
      </c>
      <c r="Q27" s="23">
        <f>IF(SUM(N27:P27)=0,0,SUM(N27:P27)/'Sm Comm Cust Fcst'!Z28)</f>
        <v>0</v>
      </c>
      <c r="R27" s="137">
        <f t="shared" si="1"/>
        <v>0</v>
      </c>
      <c r="S27" s="23">
        <f t="shared" si="1"/>
        <v>0</v>
      </c>
      <c r="T27" s="23">
        <f t="shared" si="1"/>
        <v>0</v>
      </c>
      <c r="U27" s="45">
        <f>IF(SUM(R27:T27)=0,0,SUM(R27:T27)/'Sm Comm Cust Fcst'!AA28)</f>
        <v>0</v>
      </c>
    </row>
    <row r="28" spans="1:21">
      <c r="A28" s="155" t="s">
        <v>19</v>
      </c>
      <c r="B28" s="137">
        <f>'Sm Comm Cust Fcst'!$W29*'Non-Residential TSM UC Adj'!J27</f>
        <v>0</v>
      </c>
      <c r="C28" s="23">
        <f>'Sm Comm Cust Fcst'!$W29*'Non-Residential TSM UC Adj'!K27</f>
        <v>0</v>
      </c>
      <c r="D28" s="23">
        <f>'Sm Comm Cust Fcst'!$W29*0</f>
        <v>0</v>
      </c>
      <c r="E28" s="45">
        <f>IF(SUM(B28:D28)=0,0,SUM(B28:D28)/'Sm Comm Cust Fcst'!W29)</f>
        <v>0</v>
      </c>
      <c r="F28" s="137">
        <f>'Sm Comm Cust Fcst'!$X29*'Non-Residential TSM UC Adj'!J27</f>
        <v>0</v>
      </c>
      <c r="G28" s="23">
        <f>'Sm Comm Cust Fcst'!$X29*'Non-Residential TSM UC Adj'!K27</f>
        <v>0</v>
      </c>
      <c r="H28" s="23">
        <f>'Sm Comm Cust Fcst'!$X29*0</f>
        <v>0</v>
      </c>
      <c r="I28" s="45">
        <f>IF(SUM(F28:H28)=0,0,SUM(F28:H28)/'Sm Comm Cust Fcst'!X29)</f>
        <v>0</v>
      </c>
      <c r="J28" s="137">
        <f>'Sm Comm Cust Fcst'!$Y29*'Non-Residential TSM UC Adj'!J27</f>
        <v>0</v>
      </c>
      <c r="K28" s="23">
        <f>'Sm Comm Cust Fcst'!$Y29*'Non-Residential TSM UC Adj'!K27</f>
        <v>0</v>
      </c>
      <c r="L28" s="23">
        <f>'Sm Comm Cust Fcst'!$Y29*0</f>
        <v>0</v>
      </c>
      <c r="M28" s="45">
        <f>IF(SUM(J28:L28)=0,0,SUM(J28:L28)/'Sm Comm Cust Fcst'!Y29)</f>
        <v>0</v>
      </c>
      <c r="N28" s="137">
        <f>'Sm Comm Cust Fcst'!$Z29*'Non-Residential TSM UC Adj'!N27</f>
        <v>0</v>
      </c>
      <c r="O28" s="23">
        <f>'Sm Comm Cust Fcst'!$Z29*'Non-Residential TSM UC Adj'!O27</f>
        <v>0</v>
      </c>
      <c r="P28" s="23">
        <f>'Sm Comm Cust Fcst'!$Z29*0</f>
        <v>0</v>
      </c>
      <c r="Q28" s="23">
        <f>IF(SUM(N28:P28)=0,0,SUM(N28:P28)/'Sm Comm Cust Fcst'!Z29)</f>
        <v>0</v>
      </c>
      <c r="R28" s="137">
        <f t="shared" si="1"/>
        <v>0</v>
      </c>
      <c r="S28" s="23">
        <f t="shared" si="1"/>
        <v>0</v>
      </c>
      <c r="T28" s="23">
        <f t="shared" si="1"/>
        <v>0</v>
      </c>
      <c r="U28" s="45">
        <f>IF(SUM(R28:T28)=0,0,SUM(R28:T28)/'Sm Comm Cust Fcst'!AA29)</f>
        <v>0</v>
      </c>
    </row>
    <row r="29" spans="1:21">
      <c r="A29" s="155" t="s">
        <v>20</v>
      </c>
      <c r="B29" s="137">
        <f>'Sm Comm Cust Fcst'!$W30*'Non-Residential TSM UC Adj'!J28</f>
        <v>0</v>
      </c>
      <c r="C29" s="23">
        <f>'Sm Comm Cust Fcst'!$W30*'Non-Residential TSM UC Adj'!K28</f>
        <v>0</v>
      </c>
      <c r="D29" s="23">
        <f>'Sm Comm Cust Fcst'!$W30*0</f>
        <v>0</v>
      </c>
      <c r="E29" s="45">
        <f>IF(SUM(B29:D29)=0,0,SUM(B29:D29)/'Sm Comm Cust Fcst'!W30)</f>
        <v>0</v>
      </c>
      <c r="F29" s="137">
        <f>'Sm Comm Cust Fcst'!$X30*'Non-Residential TSM UC Adj'!J28</f>
        <v>0</v>
      </c>
      <c r="G29" s="23">
        <f>'Sm Comm Cust Fcst'!$X30*'Non-Residential TSM UC Adj'!K28</f>
        <v>0</v>
      </c>
      <c r="H29" s="23">
        <f>'Sm Comm Cust Fcst'!$X30*0</f>
        <v>0</v>
      </c>
      <c r="I29" s="45">
        <f>IF(SUM(F29:H29)=0,0,SUM(F29:H29)/'Sm Comm Cust Fcst'!X30)</f>
        <v>0</v>
      </c>
      <c r="J29" s="137">
        <f>'Sm Comm Cust Fcst'!$Y30*'Non-Residential TSM UC Adj'!J28</f>
        <v>0</v>
      </c>
      <c r="K29" s="23">
        <f>'Sm Comm Cust Fcst'!$Y30*'Non-Residential TSM UC Adj'!K28</f>
        <v>0</v>
      </c>
      <c r="L29" s="23">
        <f>'Sm Comm Cust Fcst'!$Y30*0</f>
        <v>0</v>
      </c>
      <c r="M29" s="45">
        <f>IF(SUM(J29:L29)=0,0,SUM(J29:L29)/'Sm Comm Cust Fcst'!Y30)</f>
        <v>0</v>
      </c>
      <c r="N29" s="137">
        <f>'Sm Comm Cust Fcst'!$Z30*'Non-Residential TSM UC Adj'!N28</f>
        <v>0</v>
      </c>
      <c r="O29" s="23">
        <f>'Sm Comm Cust Fcst'!$Z30*'Non-Residential TSM UC Adj'!O28</f>
        <v>0</v>
      </c>
      <c r="P29" s="23">
        <f>'Sm Comm Cust Fcst'!$Z30*0</f>
        <v>0</v>
      </c>
      <c r="Q29" s="23">
        <f>IF(SUM(N29:P29)=0,0,SUM(N29:P29)/'Sm Comm Cust Fcst'!Z30)</f>
        <v>0</v>
      </c>
      <c r="R29" s="137">
        <f t="shared" si="1"/>
        <v>0</v>
      </c>
      <c r="S29" s="23">
        <f t="shared" si="1"/>
        <v>0</v>
      </c>
      <c r="T29" s="23">
        <f t="shared" si="1"/>
        <v>0</v>
      </c>
      <c r="U29" s="45">
        <f>IF(SUM(R29:T29)=0,0,SUM(R29:T29)/'Sm Comm Cust Fcst'!AA30)</f>
        <v>0</v>
      </c>
    </row>
    <row r="30" spans="1:21">
      <c r="A30" s="155" t="s">
        <v>21</v>
      </c>
      <c r="B30" s="137">
        <f>'Sm Comm Cust Fcst'!$W31*'Non-Residential TSM UC Adj'!J29</f>
        <v>0</v>
      </c>
      <c r="C30" s="23">
        <f>'Sm Comm Cust Fcst'!$W31*'Non-Residential TSM UC Adj'!K29</f>
        <v>0</v>
      </c>
      <c r="D30" s="23">
        <f>'Sm Comm Cust Fcst'!$W31*0</f>
        <v>0</v>
      </c>
      <c r="E30" s="45">
        <f>IF(SUM(B30:D30)=0,0,SUM(B30:D30)/'Sm Comm Cust Fcst'!W31)</f>
        <v>0</v>
      </c>
      <c r="F30" s="137">
        <f>'Sm Comm Cust Fcst'!$X31*'Non-Residential TSM UC Adj'!J29</f>
        <v>0</v>
      </c>
      <c r="G30" s="23">
        <f>'Sm Comm Cust Fcst'!$X31*'Non-Residential TSM UC Adj'!K29</f>
        <v>0</v>
      </c>
      <c r="H30" s="23">
        <f>'Sm Comm Cust Fcst'!$X31*0</f>
        <v>0</v>
      </c>
      <c r="I30" s="45">
        <f>IF(SUM(F30:H30)=0,0,SUM(F30:H30)/'Sm Comm Cust Fcst'!X31)</f>
        <v>0</v>
      </c>
      <c r="J30" s="137">
        <f>'Sm Comm Cust Fcst'!$Y31*'Non-Residential TSM UC Adj'!J29</f>
        <v>0</v>
      </c>
      <c r="K30" s="23">
        <f>'Sm Comm Cust Fcst'!$Y31*'Non-Residential TSM UC Adj'!K29</f>
        <v>0</v>
      </c>
      <c r="L30" s="23">
        <f>'Sm Comm Cust Fcst'!$Y31*0</f>
        <v>0</v>
      </c>
      <c r="M30" s="45">
        <f>IF(SUM(J30:L30)=0,0,SUM(J30:L30)/'Sm Comm Cust Fcst'!Y31)</f>
        <v>0</v>
      </c>
      <c r="N30" s="137">
        <f>'Sm Comm Cust Fcst'!$Z31*'Non-Residential TSM UC Adj'!N29</f>
        <v>0</v>
      </c>
      <c r="O30" s="23">
        <f>'Sm Comm Cust Fcst'!$Z31*'Non-Residential TSM UC Adj'!O29</f>
        <v>0</v>
      </c>
      <c r="P30" s="23">
        <f>'Sm Comm Cust Fcst'!$Z31*0</f>
        <v>0</v>
      </c>
      <c r="Q30" s="23">
        <f>IF(SUM(N30:P30)=0,0,SUM(N30:P30)/'Sm Comm Cust Fcst'!Z31)</f>
        <v>0</v>
      </c>
      <c r="R30" s="137">
        <f t="shared" si="1"/>
        <v>0</v>
      </c>
      <c r="S30" s="23">
        <f t="shared" si="1"/>
        <v>0</v>
      </c>
      <c r="T30" s="23">
        <f t="shared" si="1"/>
        <v>0</v>
      </c>
      <c r="U30" s="45">
        <f>IF(SUM(R30:T30)=0,0,SUM(R30:T30)/'Sm Comm Cust Fcst'!AA31)</f>
        <v>0</v>
      </c>
    </row>
    <row r="31" spans="1:21">
      <c r="A31" s="155" t="s">
        <v>22</v>
      </c>
      <c r="B31" s="137">
        <f>'Sm Comm Cust Fcst'!$W32*'Non-Residential TSM UC Adj'!J30</f>
        <v>0</v>
      </c>
      <c r="C31" s="23">
        <f>'Sm Comm Cust Fcst'!$W32*'Non-Residential TSM UC Adj'!K30</f>
        <v>0</v>
      </c>
      <c r="D31" s="23">
        <f>'Sm Comm Cust Fcst'!$W32*0</f>
        <v>0</v>
      </c>
      <c r="E31" s="45">
        <f>IF(SUM(B31:D31)=0,0,SUM(B31:D31)/'Sm Comm Cust Fcst'!W32)</f>
        <v>0</v>
      </c>
      <c r="F31" s="137">
        <f>'Sm Comm Cust Fcst'!$X32*'Non-Residential TSM UC Adj'!J30</f>
        <v>0</v>
      </c>
      <c r="G31" s="23">
        <f>'Sm Comm Cust Fcst'!$X32*'Non-Residential TSM UC Adj'!K30</f>
        <v>0</v>
      </c>
      <c r="H31" s="23">
        <f>'Sm Comm Cust Fcst'!$X32*0</f>
        <v>0</v>
      </c>
      <c r="I31" s="45">
        <f>IF(SUM(F31:H31)=0,0,SUM(F31:H31)/'Sm Comm Cust Fcst'!X32)</f>
        <v>0</v>
      </c>
      <c r="J31" s="137">
        <f>'Sm Comm Cust Fcst'!$Y32*'Non-Residential TSM UC Adj'!J30</f>
        <v>0</v>
      </c>
      <c r="K31" s="23">
        <f>'Sm Comm Cust Fcst'!$Y32*'Non-Residential TSM UC Adj'!K30</f>
        <v>0</v>
      </c>
      <c r="L31" s="23">
        <f>'Sm Comm Cust Fcst'!$Y32*0</f>
        <v>0</v>
      </c>
      <c r="M31" s="45">
        <f>IF(SUM(J31:L31)=0,0,SUM(J31:L31)/'Sm Comm Cust Fcst'!Y32)</f>
        <v>0</v>
      </c>
      <c r="N31" s="137">
        <f>'Sm Comm Cust Fcst'!$Z32*'Non-Residential TSM UC Adj'!N30</f>
        <v>0</v>
      </c>
      <c r="O31" s="23">
        <f>'Sm Comm Cust Fcst'!$Z32*'Non-Residential TSM UC Adj'!O30</f>
        <v>0</v>
      </c>
      <c r="P31" s="23">
        <f>'Sm Comm Cust Fcst'!$Z32*0</f>
        <v>0</v>
      </c>
      <c r="Q31" s="23">
        <f>IF(SUM(N31:P31)=0,0,SUM(N31:P31)/'Sm Comm Cust Fcst'!Z32)</f>
        <v>0</v>
      </c>
      <c r="R31" s="137">
        <f t="shared" si="1"/>
        <v>0</v>
      </c>
      <c r="S31" s="23">
        <f t="shared" si="1"/>
        <v>0</v>
      </c>
      <c r="T31" s="23">
        <f t="shared" si="1"/>
        <v>0</v>
      </c>
      <c r="U31" s="45">
        <f>IF(SUM(R31:T31)=0,0,SUM(R31:T31)/'Sm Comm Cust Fcst'!AA32)</f>
        <v>0</v>
      </c>
    </row>
    <row r="32" spans="1:21">
      <c r="A32" s="153" t="s">
        <v>23</v>
      </c>
      <c r="B32" s="137">
        <f>'Sm Comm Cust Fcst'!$W33*'Non-Residential TSM UC Adj'!J31</f>
        <v>0</v>
      </c>
      <c r="C32" s="23">
        <f>'Sm Comm Cust Fcst'!$W33*'Non-Residential TSM UC Adj'!K31</f>
        <v>0</v>
      </c>
      <c r="D32" s="23">
        <f>'Sm Comm Cust Fcst'!$W33*0</f>
        <v>0</v>
      </c>
      <c r="E32" s="45">
        <f>IF(SUM(B32:D32)=0,0,SUM(B32:D32)/'Sm Comm Cust Fcst'!W33)</f>
        <v>0</v>
      </c>
      <c r="F32" s="137">
        <f>'Sm Comm Cust Fcst'!$X33*'Non-Residential TSM UC Adj'!J31</f>
        <v>0</v>
      </c>
      <c r="G32" s="23">
        <f>'Sm Comm Cust Fcst'!$X33*'Non-Residential TSM UC Adj'!K31</f>
        <v>0</v>
      </c>
      <c r="H32" s="23">
        <f>'Sm Comm Cust Fcst'!$X33*0</f>
        <v>0</v>
      </c>
      <c r="I32" s="45">
        <f>IF(SUM(F32:H32)=0,0,SUM(F32:H32)/'Sm Comm Cust Fcst'!X33)</f>
        <v>0</v>
      </c>
      <c r="J32" s="137">
        <f>'Sm Comm Cust Fcst'!$Y33*'Non-Residential TSM UC Adj'!J31</f>
        <v>0</v>
      </c>
      <c r="K32" s="23">
        <f>'Sm Comm Cust Fcst'!$Y33*'Non-Residential TSM UC Adj'!K31</f>
        <v>0</v>
      </c>
      <c r="L32" s="23">
        <f>'Sm Comm Cust Fcst'!$Y33*0</f>
        <v>0</v>
      </c>
      <c r="M32" s="45">
        <f>IF(SUM(J32:L32)=0,0,SUM(J32:L32)/'Sm Comm Cust Fcst'!Y33)</f>
        <v>0</v>
      </c>
      <c r="N32" s="137">
        <f>'Sm Comm Cust Fcst'!$Z33*'Non-Residential TSM UC Adj'!N31</f>
        <v>0</v>
      </c>
      <c r="O32" s="23">
        <f>'Sm Comm Cust Fcst'!$Z33*'Non-Residential TSM UC Adj'!O31</f>
        <v>0</v>
      </c>
      <c r="P32" s="23">
        <f>'Sm Comm Cust Fcst'!$Z33*0</f>
        <v>0</v>
      </c>
      <c r="Q32" s="23">
        <f>IF(SUM(N32:P32)=0,0,SUM(N32:P32)/'Sm Comm Cust Fcst'!Z33)</f>
        <v>0</v>
      </c>
      <c r="R32" s="137">
        <f t="shared" si="1"/>
        <v>0</v>
      </c>
      <c r="S32" s="23">
        <f t="shared" si="1"/>
        <v>0</v>
      </c>
      <c r="T32" s="23">
        <f t="shared" si="1"/>
        <v>0</v>
      </c>
      <c r="U32" s="45">
        <f>IF(SUM(R32:T32)=0,0,SUM(R32:T32)/'Sm Comm Cust Fcst'!AA33)</f>
        <v>0</v>
      </c>
    </row>
    <row r="33" spans="1:21">
      <c r="A33" s="153" t="s">
        <v>24</v>
      </c>
      <c r="B33" s="137">
        <f>'Sm Comm Cust Fcst'!$W34*'Non-Residential TSM UC Adj'!J32</f>
        <v>0</v>
      </c>
      <c r="C33" s="23">
        <f>'Sm Comm Cust Fcst'!$W34*'Non-Residential TSM UC Adj'!K32</f>
        <v>0</v>
      </c>
      <c r="D33" s="23">
        <f>'Sm Comm Cust Fcst'!$W34*0</f>
        <v>0</v>
      </c>
      <c r="E33" s="45">
        <f>IF(SUM(B33:D33)=0,0,SUM(B33:D33)/'Sm Comm Cust Fcst'!W34)</f>
        <v>0</v>
      </c>
      <c r="F33" s="137">
        <f>'Sm Comm Cust Fcst'!$X34*'Non-Residential TSM UC Adj'!J32</f>
        <v>0</v>
      </c>
      <c r="G33" s="23">
        <f>'Sm Comm Cust Fcst'!$X34*'Non-Residential TSM UC Adj'!K32</f>
        <v>0</v>
      </c>
      <c r="H33" s="23">
        <f>'Sm Comm Cust Fcst'!$X34*0</f>
        <v>0</v>
      </c>
      <c r="I33" s="45">
        <f>IF(SUM(F33:H33)=0,0,SUM(F33:H33)/'Sm Comm Cust Fcst'!X34)</f>
        <v>0</v>
      </c>
      <c r="J33" s="137">
        <f>'Sm Comm Cust Fcst'!$Y34*'Non-Residential TSM UC Adj'!J32</f>
        <v>0</v>
      </c>
      <c r="K33" s="23">
        <f>'Sm Comm Cust Fcst'!$Y34*'Non-Residential TSM UC Adj'!K32</f>
        <v>0</v>
      </c>
      <c r="L33" s="23">
        <f>'Sm Comm Cust Fcst'!$Y34*0</f>
        <v>0</v>
      </c>
      <c r="M33" s="45">
        <f>IF(SUM(J33:L33)=0,0,SUM(J33:L33)/'Sm Comm Cust Fcst'!Y34)</f>
        <v>0</v>
      </c>
      <c r="N33" s="137">
        <f>'Sm Comm Cust Fcst'!$Z34*'Non-Residential TSM UC Adj'!N32</f>
        <v>0</v>
      </c>
      <c r="O33" s="23">
        <f>'Sm Comm Cust Fcst'!$Z34*'Non-Residential TSM UC Adj'!O32</f>
        <v>0</v>
      </c>
      <c r="P33" s="23">
        <f>'Sm Comm Cust Fcst'!$Z34*0</f>
        <v>0</v>
      </c>
      <c r="Q33" s="23">
        <f>IF(SUM(N33:P33)=0,0,SUM(N33:P33)/'Sm Comm Cust Fcst'!Z34)</f>
        <v>0</v>
      </c>
      <c r="R33" s="137">
        <f t="shared" si="1"/>
        <v>0</v>
      </c>
      <c r="S33" s="23">
        <f t="shared" si="1"/>
        <v>0</v>
      </c>
      <c r="T33" s="23">
        <f t="shared" si="1"/>
        <v>0</v>
      </c>
      <c r="U33" s="45">
        <f>IF(SUM(R33:T33)=0,0,SUM(R33:T33)/'Sm Comm Cust Fcst'!AA34)</f>
        <v>0</v>
      </c>
    </row>
    <row r="34" spans="1:21">
      <c r="A34" s="153" t="s">
        <v>25</v>
      </c>
      <c r="B34" s="137">
        <f>'Sm Comm Cust Fcst'!$W35*'Non-Residential TSM UC Adj'!J33</f>
        <v>0</v>
      </c>
      <c r="C34" s="23">
        <f>'Sm Comm Cust Fcst'!$W35*'Non-Residential TSM UC Adj'!K33</f>
        <v>0</v>
      </c>
      <c r="D34" s="23">
        <f>'Sm Comm Cust Fcst'!$W35*0</f>
        <v>0</v>
      </c>
      <c r="E34" s="45">
        <f>IF(SUM(B34:D34)=0,0,SUM(B34:D34)/'Sm Comm Cust Fcst'!W35)</f>
        <v>0</v>
      </c>
      <c r="F34" s="137">
        <f>'Sm Comm Cust Fcst'!$X35*'Non-Residential TSM UC Adj'!J33</f>
        <v>0</v>
      </c>
      <c r="G34" s="23">
        <f>'Sm Comm Cust Fcst'!$X35*'Non-Residential TSM UC Adj'!K33</f>
        <v>0</v>
      </c>
      <c r="H34" s="23">
        <f>'Sm Comm Cust Fcst'!$X35*0</f>
        <v>0</v>
      </c>
      <c r="I34" s="45">
        <f>IF(SUM(F34:H34)=0,0,SUM(F34:H34)/'Sm Comm Cust Fcst'!X35)</f>
        <v>0</v>
      </c>
      <c r="J34" s="137">
        <f>'Sm Comm Cust Fcst'!$Y35*'Non-Residential TSM UC Adj'!J33</f>
        <v>0</v>
      </c>
      <c r="K34" s="23">
        <f>'Sm Comm Cust Fcst'!$Y35*'Non-Residential TSM UC Adj'!K33</f>
        <v>0</v>
      </c>
      <c r="L34" s="23">
        <f>'Sm Comm Cust Fcst'!$Y35*0</f>
        <v>0</v>
      </c>
      <c r="M34" s="45">
        <f>IF(SUM(J34:L34)=0,0,SUM(J34:L34)/'Sm Comm Cust Fcst'!Y35)</f>
        <v>0</v>
      </c>
      <c r="N34" s="137">
        <f>'Sm Comm Cust Fcst'!$Z35*'Non-Residential TSM UC Adj'!N33</f>
        <v>0</v>
      </c>
      <c r="O34" s="23">
        <f>'Sm Comm Cust Fcst'!$Z35*'Non-Residential TSM UC Adj'!O33</f>
        <v>0</v>
      </c>
      <c r="P34" s="23">
        <f>'Sm Comm Cust Fcst'!$Z35*0</f>
        <v>0</v>
      </c>
      <c r="Q34" s="23">
        <f>IF(SUM(N34:P34)=0,0,SUM(N34:P34)/'Sm Comm Cust Fcst'!Z35)</f>
        <v>0</v>
      </c>
      <c r="R34" s="137">
        <f t="shared" si="1"/>
        <v>0</v>
      </c>
      <c r="S34" s="23">
        <f t="shared" si="1"/>
        <v>0</v>
      </c>
      <c r="T34" s="23">
        <f t="shared" si="1"/>
        <v>0</v>
      </c>
      <c r="U34" s="45">
        <f>IF(SUM(R34:T34)=0,0,SUM(R34:T34)/'Sm Comm Cust Fcst'!AA35)</f>
        <v>0</v>
      </c>
    </row>
    <row r="35" spans="1:21">
      <c r="A35" s="153" t="s">
        <v>125</v>
      </c>
      <c r="B35" s="137">
        <f>'Sm Comm Cust Fcst'!$W36*'Non-Residential TSM UC Adj'!J34</f>
        <v>0</v>
      </c>
      <c r="C35" s="23">
        <f>'Sm Comm Cust Fcst'!$W36*'Non-Residential TSM UC Adj'!K34</f>
        <v>0</v>
      </c>
      <c r="D35" s="23">
        <f>'Sm Comm Cust Fcst'!$W36*0</f>
        <v>0</v>
      </c>
      <c r="E35" s="45">
        <f>IF(SUM(B35:D35)=0,0,SUM(B35:D35)/'Sm Comm Cust Fcst'!W36)</f>
        <v>0</v>
      </c>
      <c r="F35" s="137">
        <f>'Sm Comm Cust Fcst'!$X36*'Non-Residential TSM UC Adj'!J34</f>
        <v>0</v>
      </c>
      <c r="G35" s="23">
        <f>'Sm Comm Cust Fcst'!$X36*'Non-Residential TSM UC Adj'!K34</f>
        <v>0</v>
      </c>
      <c r="H35" s="23">
        <f>'Sm Comm Cust Fcst'!$X36*0</f>
        <v>0</v>
      </c>
      <c r="I35" s="45">
        <f>IF(SUM(F35:H35)=0,0,SUM(F35:H35)/'Sm Comm Cust Fcst'!X36)</f>
        <v>0</v>
      </c>
      <c r="J35" s="137">
        <f>'Sm Comm Cust Fcst'!$Y36*'Non-Residential TSM UC Adj'!J34</f>
        <v>0</v>
      </c>
      <c r="K35" s="23">
        <f>'Sm Comm Cust Fcst'!$Y36*'Non-Residential TSM UC Adj'!K34</f>
        <v>0</v>
      </c>
      <c r="L35" s="23">
        <f>'Sm Comm Cust Fcst'!$Y36*0</f>
        <v>0</v>
      </c>
      <c r="M35" s="45">
        <f>IF(SUM(J35:L35)=0,0,SUM(J35:L35)/'Sm Comm Cust Fcst'!Y36)</f>
        <v>0</v>
      </c>
      <c r="N35" s="137">
        <f>'Sm Comm Cust Fcst'!$Z36*'Non-Residential TSM UC Adj'!N34</f>
        <v>0</v>
      </c>
      <c r="O35" s="23">
        <f>'Sm Comm Cust Fcst'!$Z36*'Non-Residential TSM UC Adj'!O34</f>
        <v>0</v>
      </c>
      <c r="P35" s="23">
        <f>'Sm Comm Cust Fcst'!$Z36*0</f>
        <v>0</v>
      </c>
      <c r="Q35" s="23">
        <f>IF(SUM(N35:P35)=0,0,SUM(N35:P35)/'Sm Comm Cust Fcst'!Z36)</f>
        <v>0</v>
      </c>
      <c r="R35" s="137">
        <f t="shared" si="1"/>
        <v>0</v>
      </c>
      <c r="S35" s="23">
        <f t="shared" si="1"/>
        <v>0</v>
      </c>
      <c r="T35" s="23">
        <f t="shared" si="1"/>
        <v>0</v>
      </c>
      <c r="U35" s="45">
        <f>IF(SUM(R35:T35)=0,0,SUM(R35:T35)/'Sm Comm Cust Fcst'!AA36)</f>
        <v>0</v>
      </c>
    </row>
    <row r="36" spans="1:21">
      <c r="A36" s="153" t="s">
        <v>126</v>
      </c>
      <c r="B36" s="137">
        <f>'Sm Comm Cust Fcst'!$W37*'Non-Residential TSM UC Adj'!J35</f>
        <v>0</v>
      </c>
      <c r="C36" s="23">
        <f>'Sm Comm Cust Fcst'!$W37*'Non-Residential TSM UC Adj'!K35</f>
        <v>0</v>
      </c>
      <c r="D36" s="23">
        <f>'Sm Comm Cust Fcst'!$W37*0</f>
        <v>0</v>
      </c>
      <c r="E36" s="45">
        <f>IF(SUM(B36:D36)=0,0,SUM(B36:D36)/'Sm Comm Cust Fcst'!W37)</f>
        <v>0</v>
      </c>
      <c r="F36" s="137">
        <f>'Sm Comm Cust Fcst'!$X37*'Non-Residential TSM UC Adj'!J35</f>
        <v>0</v>
      </c>
      <c r="G36" s="23">
        <f>'Sm Comm Cust Fcst'!$X37*'Non-Residential TSM UC Adj'!K35</f>
        <v>0</v>
      </c>
      <c r="H36" s="23">
        <f>'Sm Comm Cust Fcst'!$X37*0</f>
        <v>0</v>
      </c>
      <c r="I36" s="45">
        <f>IF(SUM(F36:H36)=0,0,SUM(F36:H36)/'Sm Comm Cust Fcst'!X37)</f>
        <v>0</v>
      </c>
      <c r="J36" s="137">
        <f>'Sm Comm Cust Fcst'!$Y37*'Non-Residential TSM UC Adj'!J35</f>
        <v>0</v>
      </c>
      <c r="K36" s="23">
        <f>'Sm Comm Cust Fcst'!$Y37*'Non-Residential TSM UC Adj'!K35</f>
        <v>0</v>
      </c>
      <c r="L36" s="23">
        <f>'Sm Comm Cust Fcst'!$Y37*0</f>
        <v>0</v>
      </c>
      <c r="M36" s="45">
        <f>IF(SUM(J36:L36)=0,0,SUM(J36:L36)/'Sm Comm Cust Fcst'!Y37)</f>
        <v>0</v>
      </c>
      <c r="N36" s="137">
        <f>'Sm Comm Cust Fcst'!$Z37*'Non-Residential TSM UC Adj'!N35</f>
        <v>0</v>
      </c>
      <c r="O36" s="23">
        <f>'Sm Comm Cust Fcst'!$Z37*'Non-Residential TSM UC Adj'!O35</f>
        <v>0</v>
      </c>
      <c r="P36" s="23">
        <f>'Sm Comm Cust Fcst'!$Z37*0</f>
        <v>0</v>
      </c>
      <c r="Q36" s="23">
        <f>IF(SUM(N36:P36)=0,0,SUM(N36:P36)/'Sm Comm Cust Fcst'!Z37)</f>
        <v>0</v>
      </c>
      <c r="R36" s="137">
        <f t="shared" si="1"/>
        <v>0</v>
      </c>
      <c r="S36" s="23">
        <f t="shared" si="1"/>
        <v>0</v>
      </c>
      <c r="T36" s="23">
        <f t="shared" si="1"/>
        <v>0</v>
      </c>
      <c r="U36" s="45">
        <f>IF(SUM(R36:T36)=0,0,SUM(R36:T36)/'Sm Comm Cust Fcst'!AA37)</f>
        <v>0</v>
      </c>
    </row>
    <row r="37" spans="1:21">
      <c r="A37" s="155" t="s">
        <v>26</v>
      </c>
      <c r="B37" s="137">
        <f>'Sm Comm Cust Fcst'!$W38*'Non-Residential TSM UC Adj'!J36</f>
        <v>0</v>
      </c>
      <c r="C37" s="23">
        <f>'Sm Comm Cust Fcst'!$W38*'Non-Residential TSM UC Adj'!K36</f>
        <v>0</v>
      </c>
      <c r="D37" s="23">
        <f>'Sm Comm Cust Fcst'!$W38*0</f>
        <v>0</v>
      </c>
      <c r="E37" s="45">
        <f>IF(SUM(B37:D37)=0,0,SUM(B37:D37)/'Sm Comm Cust Fcst'!W38)</f>
        <v>0</v>
      </c>
      <c r="F37" s="137">
        <f>'Sm Comm Cust Fcst'!$X38*'Non-Residential TSM UC Adj'!J36</f>
        <v>0</v>
      </c>
      <c r="G37" s="23">
        <f>'Sm Comm Cust Fcst'!$X38*'Non-Residential TSM UC Adj'!K36</f>
        <v>0</v>
      </c>
      <c r="H37" s="23">
        <f>'Sm Comm Cust Fcst'!$X38*0</f>
        <v>0</v>
      </c>
      <c r="I37" s="45">
        <f>IF(SUM(F37:H37)=0,0,SUM(F37:H37)/'Sm Comm Cust Fcst'!X38)</f>
        <v>0</v>
      </c>
      <c r="J37" s="137">
        <f>'Sm Comm Cust Fcst'!$Y38*'Non-Residential TSM UC Adj'!J36</f>
        <v>0</v>
      </c>
      <c r="K37" s="23">
        <f>'Sm Comm Cust Fcst'!$Y38*'Non-Residential TSM UC Adj'!K36</f>
        <v>0</v>
      </c>
      <c r="L37" s="23">
        <f>'Sm Comm Cust Fcst'!$Y38*0</f>
        <v>0</v>
      </c>
      <c r="M37" s="45">
        <f>IF(SUM(J37:L37)=0,0,SUM(J37:L37)/'Sm Comm Cust Fcst'!Y38)</f>
        <v>0</v>
      </c>
      <c r="N37" s="137">
        <f>'Sm Comm Cust Fcst'!$Z38*'Non-Residential TSM UC Adj'!N36</f>
        <v>0</v>
      </c>
      <c r="O37" s="23">
        <f>'Sm Comm Cust Fcst'!$Z38*'Non-Residential TSM UC Adj'!O36</f>
        <v>0</v>
      </c>
      <c r="P37" s="23">
        <f>'Sm Comm Cust Fcst'!$Z38*0</f>
        <v>0</v>
      </c>
      <c r="Q37" s="23">
        <f>IF(SUM(N37:P37)=0,0,SUM(N37:P37)/'Sm Comm Cust Fcst'!Z38)</f>
        <v>0</v>
      </c>
      <c r="R37" s="137">
        <f t="shared" si="1"/>
        <v>0</v>
      </c>
      <c r="S37" s="23">
        <f t="shared" si="1"/>
        <v>0</v>
      </c>
      <c r="T37" s="23">
        <f t="shared" si="1"/>
        <v>0</v>
      </c>
      <c r="U37" s="45">
        <f>IF(SUM(R37:T37)=0,0,SUM(R37:T37)/'Sm Comm Cust Fcst'!AA38)</f>
        <v>0</v>
      </c>
    </row>
    <row r="38" spans="1:21">
      <c r="A38" s="155" t="s">
        <v>27</v>
      </c>
      <c r="B38" s="137">
        <f>'Sm Comm Cust Fcst'!$W39*'Non-Residential TSM UC Adj'!J37</f>
        <v>0</v>
      </c>
      <c r="C38" s="23">
        <f>'Sm Comm Cust Fcst'!$W39*'Non-Residential TSM UC Adj'!K37</f>
        <v>0</v>
      </c>
      <c r="D38" s="23">
        <f>'Sm Comm Cust Fcst'!$W39*0</f>
        <v>0</v>
      </c>
      <c r="E38" s="45">
        <f>IF(SUM(B38:D38)=0,0,SUM(B38:D38)/'Sm Comm Cust Fcst'!W39)</f>
        <v>0</v>
      </c>
      <c r="F38" s="137">
        <f>'Sm Comm Cust Fcst'!$X39*'Non-Residential TSM UC Adj'!J37</f>
        <v>0</v>
      </c>
      <c r="G38" s="23">
        <f>'Sm Comm Cust Fcst'!$X39*'Non-Residential TSM UC Adj'!K37</f>
        <v>0</v>
      </c>
      <c r="H38" s="23">
        <f>'Sm Comm Cust Fcst'!$X39*0</f>
        <v>0</v>
      </c>
      <c r="I38" s="45">
        <f>IF(SUM(F38:H38)=0,0,SUM(F38:H38)/'Sm Comm Cust Fcst'!X39)</f>
        <v>0</v>
      </c>
      <c r="J38" s="137">
        <f>'Sm Comm Cust Fcst'!$Y39*'Non-Residential TSM UC Adj'!J37</f>
        <v>0</v>
      </c>
      <c r="K38" s="23">
        <f>'Sm Comm Cust Fcst'!$Y39*'Non-Residential TSM UC Adj'!K37</f>
        <v>0</v>
      </c>
      <c r="L38" s="23">
        <f>'Sm Comm Cust Fcst'!$Y39*0</f>
        <v>0</v>
      </c>
      <c r="M38" s="45">
        <f>IF(SUM(J38:L38)=0,0,SUM(J38:L38)/'Sm Comm Cust Fcst'!Y39)</f>
        <v>0</v>
      </c>
      <c r="N38" s="137">
        <f>'Sm Comm Cust Fcst'!$Z39*'Non-Residential TSM UC Adj'!N37</f>
        <v>0</v>
      </c>
      <c r="O38" s="23">
        <f>'Sm Comm Cust Fcst'!$Z39*'Non-Residential TSM UC Adj'!O37</f>
        <v>0</v>
      </c>
      <c r="P38" s="23">
        <f>'Sm Comm Cust Fcst'!$Z39*0</f>
        <v>0</v>
      </c>
      <c r="Q38" s="23">
        <f>IF(SUM(N38:P38)=0,0,SUM(N38:P38)/'Sm Comm Cust Fcst'!Z39)</f>
        <v>0</v>
      </c>
      <c r="R38" s="137">
        <f t="shared" si="1"/>
        <v>0</v>
      </c>
      <c r="S38" s="23">
        <f t="shared" si="1"/>
        <v>0</v>
      </c>
      <c r="T38" s="23">
        <f t="shared" si="1"/>
        <v>0</v>
      </c>
      <c r="U38" s="45">
        <f>IF(SUM(R38:T38)=0,0,SUM(R38:T38)/'Sm Comm Cust Fcst'!AA39)</f>
        <v>0</v>
      </c>
    </row>
    <row r="39" spans="1:21" ht="13.5" thickBot="1">
      <c r="A39" s="146"/>
      <c r="B39" s="137"/>
      <c r="C39" s="23"/>
      <c r="D39" s="23"/>
      <c r="E39" s="45"/>
      <c r="F39" s="137"/>
      <c r="G39" s="23"/>
      <c r="H39" s="23"/>
      <c r="I39" s="45"/>
      <c r="J39" s="137"/>
      <c r="K39" s="23"/>
      <c r="L39" s="23"/>
      <c r="M39" s="45"/>
      <c r="N39" s="137"/>
      <c r="O39" s="23"/>
      <c r="P39" s="23"/>
      <c r="Q39" s="23"/>
      <c r="R39" s="137"/>
      <c r="S39" s="23"/>
      <c r="T39" s="23"/>
      <c r="U39" s="45"/>
    </row>
    <row r="40" spans="1:21" ht="13.5" thickBot="1">
      <c r="A40" s="245" t="s">
        <v>2</v>
      </c>
      <c r="B40" s="503">
        <f>IF(SUM(B7:B38)=0,0,SUM(B7:B38)/'Sm Comm Cust Fcst'!$W41)</f>
        <v>3460.8829950802069</v>
      </c>
      <c r="C40" s="506">
        <f>IF(SUM(C7:C38)=0,0,SUM(C7:C38)/'Sm Comm Cust Fcst'!$W41)</f>
        <v>1184.6924708602162</v>
      </c>
      <c r="D40" s="506">
        <f>IF(SUM(D7:D38)=0,0,SUM(D7:D38)/'Sm Comm Cust Fcst'!$W41)</f>
        <v>0</v>
      </c>
      <c r="E40" s="508">
        <f>SUM(B40:D40)</f>
        <v>4645.5754659404229</v>
      </c>
      <c r="F40" s="503">
        <f>IF(SUM(F7:F38)=0,0,SUM(F7:F38)/'Sm Comm Cust Fcst'!$X41)</f>
        <v>0</v>
      </c>
      <c r="G40" s="506">
        <f>IF(SUM(G7:G38)=0,0,SUM(G7:G38)/'Sm Comm Cust Fcst'!$X41)</f>
        <v>0</v>
      </c>
      <c r="H40" s="506">
        <f>IF(SUM(H7:H38)=0,0,SUM(H7:H38)/'Sm Comm Cust Fcst'!$X41)</f>
        <v>0</v>
      </c>
      <c r="I40" s="508">
        <f>SUM(F40:H40)</f>
        <v>0</v>
      </c>
      <c r="J40" s="503">
        <f>IF(SUM(J7:J38)=0,0,SUM(J7:J38)/'Sm Comm Cust Fcst'!$Y41)</f>
        <v>0</v>
      </c>
      <c r="K40" s="506">
        <f>IF(SUM(K7:K38)=0,0,SUM(K7:K38)/'Sm Comm Cust Fcst'!$Y41)</f>
        <v>0</v>
      </c>
      <c r="L40" s="506">
        <f>IF(SUM(L7:L38)=0,0,SUM(L7:L38)/'Sm Comm Cust Fcst'!$Y41)</f>
        <v>0</v>
      </c>
      <c r="M40" s="508">
        <f>SUM(J40:L40)</f>
        <v>0</v>
      </c>
      <c r="N40" s="503">
        <f>IF(SUM(N7:N38)=0,0,SUM(N7:N38)/'Sm Comm Cust Fcst'!$Z41)</f>
        <v>0</v>
      </c>
      <c r="O40" s="506">
        <f>IF(SUM(O7:O38)=0,0,SUM(O7:O38)/'Sm Comm Cust Fcst'!$Z41)</f>
        <v>0</v>
      </c>
      <c r="P40" s="506">
        <f>IF(SUM(P7:P38)=0,0,SUM(P7:P38)/'Sm Comm Cust Fcst'!$Z41)</f>
        <v>0</v>
      </c>
      <c r="Q40" s="508">
        <f>SUM(N40:P40)</f>
        <v>0</v>
      </c>
      <c r="R40" s="503">
        <f>IF(SUM(R7:R38)=0,0,SUM(R7:R38)/'Sm Comm Cust Fcst'!$AA41)</f>
        <v>3460.8829950802069</v>
      </c>
      <c r="S40" s="506">
        <f>IF(SUM(S7:S38)=0,0,SUM(S7:S38)/'Sm Comm Cust Fcst'!$AA41)</f>
        <v>1184.6924708602162</v>
      </c>
      <c r="T40" s="506">
        <f>IF(SUM(T7:T38)=0,0,SUM(T7:T38)/'Sm Comm Cust Fcst'!$AA41)</f>
        <v>0</v>
      </c>
      <c r="U40" s="508">
        <f>SUM(R40:T40)</f>
        <v>4645.5754659404229</v>
      </c>
    </row>
    <row r="41" spans="1:21">
      <c r="A41" s="149" t="s">
        <v>103</v>
      </c>
      <c r="B41" s="380">
        <f>IF(SUM(B7:B8)=0,0,SUM(B7:B8)/'Sm Comm Cust Fcst'!$W42)</f>
        <v>748.36410573994965</v>
      </c>
      <c r="C41" s="109">
        <f>IF(SUM(C7:C8)=0,0,SUM(C7:C8)/'Sm Comm Cust Fcst'!$W42)</f>
        <v>112.16712195266034</v>
      </c>
      <c r="D41" s="109">
        <f>IF(SUM(D7:D8)=0,0,SUM(D7:D8)/'Sm Comm Cust Fcst'!$W42)</f>
        <v>0</v>
      </c>
      <c r="E41" s="109">
        <f>SUM(B41:D41)</f>
        <v>860.53122769260995</v>
      </c>
      <c r="F41" s="380">
        <f>IF(SUM(F7:F8)=0,0,SUM(F7:F8)/'Sm Comm Cust Fcst'!$X42)</f>
        <v>0</v>
      </c>
      <c r="G41" s="109">
        <f>IF(SUM(G7:G8)=0,0,SUM(G7:G8)/'Sm Comm Cust Fcst'!$X42)</f>
        <v>0</v>
      </c>
      <c r="H41" s="109">
        <f>IF(SUM(H7:H8)=0,0,SUM(H7:H8)/'Sm Comm Cust Fcst'!$X42)</f>
        <v>0</v>
      </c>
      <c r="I41" s="109">
        <f>SUM(F41:H41)</f>
        <v>0</v>
      </c>
      <c r="J41" s="380">
        <f>IF(SUM(J7:J8)=0,0,SUM(J7:J8)/'Sm Comm Cust Fcst'!$Y42)</f>
        <v>0</v>
      </c>
      <c r="K41" s="109">
        <f>IF(SUM(K7:K8)=0,0,SUM(K7:K8)/'Sm Comm Cust Fcst'!$Y42)</f>
        <v>0</v>
      </c>
      <c r="L41" s="109">
        <f>IF(SUM(L7:L8)=0,0,SUM(L7:L8)/'Sm Comm Cust Fcst'!$Y42)</f>
        <v>0</v>
      </c>
      <c r="M41" s="109">
        <f>SUM(J41:L41)</f>
        <v>0</v>
      </c>
      <c r="N41" s="380">
        <f>IF(SUM(N7:N8)=0,0,SUM(N7:N8)/'Sm Comm Cust Fcst'!$Z42)</f>
        <v>0</v>
      </c>
      <c r="O41" s="109">
        <f>IF(SUM(O7:O8)=0,0,SUM(O7:O8)/'Sm Comm Cust Fcst'!$Z42)</f>
        <v>0</v>
      </c>
      <c r="P41" s="109">
        <f>IF(SUM(P7:P8)=0,0,SUM(P7:P8)/'Sm Comm Cust Fcst'!$Z42)</f>
        <v>0</v>
      </c>
      <c r="Q41" s="109">
        <f>SUM(N41:P41)</f>
        <v>0</v>
      </c>
      <c r="R41" s="380">
        <f>IF(SUM(R7:R8)=0,0,SUM(R7:R8)/'Sm Comm Cust Fcst'!$AA42)</f>
        <v>748.36410573994965</v>
      </c>
      <c r="S41" s="109">
        <f>IF(SUM(S7:S8)=0,0,SUM(S7:S8)/'Sm Comm Cust Fcst'!$AA42)</f>
        <v>112.16712195266034</v>
      </c>
      <c r="T41" s="109">
        <f>IF(SUM(T7:T8)=0,0,SUM(T7:T8)/'Sm Comm Cust Fcst'!$AA42)</f>
        <v>0</v>
      </c>
      <c r="U41" s="381">
        <f>SUM(R41:T41)</f>
        <v>860.53122769260995</v>
      </c>
    </row>
    <row r="42" spans="1:21">
      <c r="A42" s="21" t="s">
        <v>128</v>
      </c>
      <c r="B42" s="380">
        <f>IF(SUM(B9:B11)=0,0,SUM(B9:B11)/'Sm Comm Cust Fcst'!$W43)</f>
        <v>1091.3643208707599</v>
      </c>
      <c r="C42" s="109">
        <f>IF(SUM(C9:C11)=0,0,SUM(C9:C11)/'Sm Comm Cust Fcst'!$W43)</f>
        <v>140.14208440869012</v>
      </c>
      <c r="D42" s="109">
        <f>IF(SUM(D9:D11)=0,0,SUM(D9:D11)/'Sm Comm Cust Fcst'!$W43)</f>
        <v>0</v>
      </c>
      <c r="E42" s="109">
        <f>SUM(B42:D42)</f>
        <v>1231.5064052794501</v>
      </c>
      <c r="F42" s="380">
        <f>IF(SUM(F9:F11)=0,0,SUM(F9:F11)/'Sm Comm Cust Fcst'!$X43)</f>
        <v>0</v>
      </c>
      <c r="G42" s="109">
        <f>IF(SUM(G9:G11)=0,0,SUM(G9:G11)/'Sm Comm Cust Fcst'!$X43)</f>
        <v>0</v>
      </c>
      <c r="H42" s="109">
        <f>IF(SUM(H9:H11)=0,0,SUM(H9:H11)/'Sm Comm Cust Fcst'!$X43)</f>
        <v>0</v>
      </c>
      <c r="I42" s="109">
        <f>SUM(F42:H42)</f>
        <v>0</v>
      </c>
      <c r="J42" s="380">
        <f>IF(SUM(J9:J11)=0,0,SUM(J9:J11)/'Sm Comm Cust Fcst'!$Y43)</f>
        <v>0</v>
      </c>
      <c r="K42" s="109">
        <f>IF(SUM(K9:K11)=0,0,SUM(K9:K11)/'Sm Comm Cust Fcst'!$Y43)</f>
        <v>0</v>
      </c>
      <c r="L42" s="109">
        <f>IF(SUM(L9:L11)=0,0,SUM(L9:L11)/'Sm Comm Cust Fcst'!$Y43)</f>
        <v>0</v>
      </c>
      <c r="M42" s="109">
        <f>SUM(J42:L42)</f>
        <v>0</v>
      </c>
      <c r="N42" s="380">
        <f>IF(SUM(N9:N11)=0,0,SUM(N9:N11)/'Sm Comm Cust Fcst'!$Z43)</f>
        <v>0</v>
      </c>
      <c r="O42" s="109">
        <f>IF(SUM(O9:O11)=0,0,SUM(O9:O11)/'Sm Comm Cust Fcst'!$Z43)</f>
        <v>0</v>
      </c>
      <c r="P42" s="109">
        <f>IF(SUM(P9:P11)=0,0,SUM(P9:P11)/'Sm Comm Cust Fcst'!$Z43)</f>
        <v>0</v>
      </c>
      <c r="Q42" s="109">
        <f>SUM(N42:P42)</f>
        <v>0</v>
      </c>
      <c r="R42" s="380">
        <f>IF(SUM(R9:R11)=0,0,SUM(R9:R11)/'Sm Comm Cust Fcst'!$AA43)</f>
        <v>1091.3643208707599</v>
      </c>
      <c r="S42" s="109">
        <f>IF(SUM(S9:S11)=0,0,SUM(S9:S11)/'Sm Comm Cust Fcst'!$AA43)</f>
        <v>140.14208440869012</v>
      </c>
      <c r="T42" s="109">
        <f>IF(SUM(T9:T11)=0,0,SUM(T9:T11)/'Sm Comm Cust Fcst'!$AA43)</f>
        <v>0</v>
      </c>
      <c r="U42" s="381">
        <f>SUM(R42:T42)</f>
        <v>1231.5064052794501</v>
      </c>
    </row>
    <row r="43" spans="1:21">
      <c r="A43" s="21" t="s">
        <v>129</v>
      </c>
      <c r="B43" s="380">
        <f>IF(SUM(B12:B13)=0,0,SUM(B12:B13)/'Sm Comm Cust Fcst'!$W44)</f>
        <v>3352.8322855322408</v>
      </c>
      <c r="C43" s="109">
        <f>IF(SUM(C12:C13)=0,0,SUM(C12:C13)/'Sm Comm Cust Fcst'!$W44)</f>
        <v>286.62068549899624</v>
      </c>
      <c r="D43" s="109">
        <f>IF(SUM(D12:D13)=0,0,SUM(D12:D13)/'Sm Comm Cust Fcst'!$W44)</f>
        <v>0</v>
      </c>
      <c r="E43" s="109">
        <f>SUM(B43:D43)</f>
        <v>3639.4529710312372</v>
      </c>
      <c r="F43" s="380">
        <f>IF(SUM(F12:F13)=0,0,SUM(F12:F13)/'Sm Comm Cust Fcst'!$X44)</f>
        <v>0</v>
      </c>
      <c r="G43" s="109">
        <f>IF(SUM(G12:G13)=0,0,SUM(G12:G13)/'Sm Comm Cust Fcst'!$X44)</f>
        <v>0</v>
      </c>
      <c r="H43" s="109">
        <f>IF(SUM(H12:H13)=0,0,SUM(H12:H13)/'Sm Comm Cust Fcst'!$X44)</f>
        <v>0</v>
      </c>
      <c r="I43" s="109">
        <f>SUM(F43:H43)</f>
        <v>0</v>
      </c>
      <c r="J43" s="380">
        <f>IF(SUM(J12:J13)=0,0,SUM(J12:J13)/'Sm Comm Cust Fcst'!$Y44)</f>
        <v>0</v>
      </c>
      <c r="K43" s="109">
        <f>IF(SUM(K12:K13)=0,0,SUM(K12:K13)/'Sm Comm Cust Fcst'!$Y44)</f>
        <v>0</v>
      </c>
      <c r="L43" s="109">
        <f>IF(SUM(L12:L13)=0,0,SUM(L12:L13)/'Sm Comm Cust Fcst'!$Y44)</f>
        <v>0</v>
      </c>
      <c r="M43" s="109">
        <f>SUM(J43:L43)</f>
        <v>0</v>
      </c>
      <c r="N43" s="380">
        <f>IF(SUM(N12:N13)=0,0,SUM(N12:N13)/'Sm Comm Cust Fcst'!$Z44)</f>
        <v>0</v>
      </c>
      <c r="O43" s="109">
        <f>IF(SUM(O12:O13)=0,0,SUM(O12:O13)/'Sm Comm Cust Fcst'!$Z44)</f>
        <v>0</v>
      </c>
      <c r="P43" s="109">
        <f>IF(SUM(P12:P13)=0,0,SUM(P12:P13)/'Sm Comm Cust Fcst'!$Z44)</f>
        <v>0</v>
      </c>
      <c r="Q43" s="109">
        <f>SUM(N43:P43)</f>
        <v>0</v>
      </c>
      <c r="R43" s="380">
        <f>IF(SUM(R12:R13)=0,0,SUM(R12:R13)/'Sm Comm Cust Fcst'!$AA44)</f>
        <v>3352.8322855322408</v>
      </c>
      <c r="S43" s="109">
        <f>IF(SUM(S12:S13)=0,0,SUM(S12:S13)/'Sm Comm Cust Fcst'!$AA44)</f>
        <v>286.62068549899624</v>
      </c>
      <c r="T43" s="109">
        <f>IF(SUM(T12:T13)=0,0,SUM(T12:T13)/'Sm Comm Cust Fcst'!$AA44)</f>
        <v>0</v>
      </c>
      <c r="U43" s="381">
        <f>SUM(R43:T43)</f>
        <v>3639.4529710312372</v>
      </c>
    </row>
    <row r="44" spans="1:21" ht="13.5" thickBot="1">
      <c r="A44" s="323" t="s">
        <v>130</v>
      </c>
      <c r="B44" s="505">
        <f>IF(SUM(B14:B38)=0,0,SUM(B14:B38)/'Sm Comm Cust Fcst'!$W45)</f>
        <v>19910.35524103084</v>
      </c>
      <c r="C44" s="414">
        <f>IF(SUM(C14:C38)=0,0,SUM(C14:C38)/'Sm Comm Cust Fcst'!$W45)</f>
        <v>10642.360195110527</v>
      </c>
      <c r="D44" s="414">
        <f>IF(SUM(D14:D38)=0,0,SUM(D14:D38)/'Sm Comm Cust Fcst'!$W45)</f>
        <v>0</v>
      </c>
      <c r="E44" s="414">
        <f>SUM(B44:D44)</f>
        <v>30552.715436141367</v>
      </c>
      <c r="F44" s="505">
        <f>IF(SUM(F14:F38)=0,0,SUM(F14:F38)/'Sm Comm Cust Fcst'!$X45)</f>
        <v>0</v>
      </c>
      <c r="G44" s="414">
        <f>IF(SUM(G14:G38)=0,0,SUM(G14:G38)/'Sm Comm Cust Fcst'!$X45)</f>
        <v>0</v>
      </c>
      <c r="H44" s="414">
        <f>IF(SUM(H14:H38)=0,0,SUM(H14:H38)/'Sm Comm Cust Fcst'!$X45)</f>
        <v>0</v>
      </c>
      <c r="I44" s="414">
        <f>SUM(F44:H44)</f>
        <v>0</v>
      </c>
      <c r="J44" s="505">
        <f>IF(SUM(J14:J38)=0,0,SUM(J14:J38)/'Sm Comm Cust Fcst'!$Y45)</f>
        <v>0</v>
      </c>
      <c r="K44" s="414">
        <f>IF(SUM(K14:K38)=0,0,SUM(K14:K38)/'Sm Comm Cust Fcst'!$Y45)</f>
        <v>0</v>
      </c>
      <c r="L44" s="414">
        <f>IF(SUM(L14:L38)=0,0,SUM(L14:L38)/'Sm Comm Cust Fcst'!$Y45)</f>
        <v>0</v>
      </c>
      <c r="M44" s="414">
        <f>SUM(J44:L44)</f>
        <v>0</v>
      </c>
      <c r="N44" s="505">
        <f>IF(SUM(N14:N38)=0,0,SUM(N14:N38)/'Sm Comm Cust Fcst'!$Z45)</f>
        <v>0</v>
      </c>
      <c r="O44" s="414">
        <f>IF(SUM(O14:O38)=0,0,SUM(O14:O38)/'Sm Comm Cust Fcst'!$Z45)</f>
        <v>0</v>
      </c>
      <c r="P44" s="414">
        <f>IF(SUM(P14:P38)=0,0,SUM(P14:P38)/'Sm Comm Cust Fcst'!$Z45)</f>
        <v>0</v>
      </c>
      <c r="Q44" s="414">
        <f>SUM(N44:P44)</f>
        <v>0</v>
      </c>
      <c r="R44" s="505">
        <f>IF(SUM(R14:R38)=0,0,SUM(R14:R38)/'Sm Comm Cust Fcst'!$AA45)</f>
        <v>19910.35524103084</v>
      </c>
      <c r="S44" s="414">
        <f>IF(SUM(S14:S38)=0,0,SUM(S14:S38)/'Sm Comm Cust Fcst'!$AA45)</f>
        <v>10642.360195110527</v>
      </c>
      <c r="T44" s="414">
        <f>IF(SUM(T14:T38)=0,0,SUM(T14:T38)/'Sm Comm Cust Fcst'!$AA45)</f>
        <v>0</v>
      </c>
      <c r="U44" s="510">
        <f>SUM(R44:T44)</f>
        <v>30552.715436141367</v>
      </c>
    </row>
    <row r="45" spans="1:21">
      <c r="A45" s="55"/>
      <c r="C45" s="12"/>
      <c r="D45" s="12"/>
      <c r="G45" s="12"/>
      <c r="H45" s="12"/>
      <c r="K45" s="12"/>
      <c r="L45" s="12"/>
      <c r="O45" s="12"/>
      <c r="P45" s="12"/>
      <c r="S45" s="12"/>
      <c r="T45" s="12"/>
    </row>
    <row r="46" spans="1:21">
      <c r="A46" s="340" t="s">
        <v>102</v>
      </c>
      <c r="B46" s="18"/>
      <c r="C46" s="18"/>
      <c r="D46" s="18"/>
      <c r="E46" s="108">
        <f>IF(SUM(B7:D38)=0,0,SUM(B7:D38)/'Sm Comm Cust Fcst'!$W41)-E40</f>
        <v>0</v>
      </c>
      <c r="F46" s="18"/>
      <c r="G46" s="18"/>
      <c r="H46" s="18"/>
      <c r="I46" s="108">
        <f>IF(SUM(F7:H38)=0,0,SUM(F7:H38)/'Sm Comm Cust Fcst'!$X41)-I40</f>
        <v>0</v>
      </c>
      <c r="J46" s="18"/>
      <c r="K46" s="18"/>
      <c r="L46" s="18"/>
      <c r="M46" s="108">
        <f>IF(SUM(J7:L38)=0,0,SUM(J7:L38)/'Sm Comm Cust Fcst'!$Y41)-M40</f>
        <v>0</v>
      </c>
      <c r="N46" s="18"/>
      <c r="O46" s="18"/>
      <c r="P46" s="18"/>
      <c r="Q46" s="108">
        <f>IF(SUM(N7:P38)=0,0,SUM(N7:P38)/'Sm Comm Cust Fcst'!$Z41)-Q40</f>
        <v>0</v>
      </c>
      <c r="R46" s="18"/>
      <c r="S46" s="18"/>
      <c r="T46" s="18"/>
      <c r="U46" s="108">
        <f>IF(SUM(R7:T38)=0,0,SUM(R7:T38)/'Sm Comm Cust Fcst'!$AA41)-U40</f>
        <v>0</v>
      </c>
    </row>
    <row r="47" spans="1:21">
      <c r="E47" s="108">
        <f>IF(SUM(B7:D8)=0,0,SUM(B7:D8)/'Sm Comm Cust Fcst'!$W42)-E41</f>
        <v>0</v>
      </c>
      <c r="I47" s="108">
        <f>IF(SUM(F7:H8)=0,0,SUM(F7:H8)/'Sm Comm Cust Fcst'!$X42)-I41</f>
        <v>0</v>
      </c>
      <c r="M47" s="108">
        <f>IF(SUM(J7:L8)=0,0,SUM(J7:L8)/'Sm Comm Cust Fcst'!$Y42)-M41</f>
        <v>0</v>
      </c>
      <c r="Q47" s="108">
        <f>IF(SUM(N7:P8)=0,0,SUM(N7:P8)/'Sm Comm Cust Fcst'!$Z42)-Q41</f>
        <v>0</v>
      </c>
      <c r="U47" s="108">
        <f>IF(SUM(R7:T8)=0,0,SUM(R7:T8)/'Sm Comm Cust Fcst'!$AA42)-U41</f>
        <v>0</v>
      </c>
    </row>
    <row r="48" spans="1:21">
      <c r="E48" s="108">
        <f>IF(SUM(B9:D11)=0,0,SUM(B9:D11)/'Sm Comm Cust Fcst'!$W43)-E42</f>
        <v>0</v>
      </c>
      <c r="I48" s="108">
        <f>IF(SUM(F9:H11)=0,0,SUM(F9:H11)/'Sm Comm Cust Fcst'!$X43)-I42</f>
        <v>0</v>
      </c>
      <c r="M48" s="108">
        <f>IF(SUM(J9:L11)=0,0,SUM(J9:L11)/'Sm Comm Cust Fcst'!$Y43)-M42</f>
        <v>0</v>
      </c>
      <c r="Q48" s="108">
        <f>IF(SUM(N9:P11)=0,0,SUM(N9:P11)/'Sm Comm Cust Fcst'!$Z43)-Q42</f>
        <v>0</v>
      </c>
      <c r="U48" s="108">
        <f>IF(SUM(R9:T11)=0,0,SUM(R9:T11)/'Sm Comm Cust Fcst'!$AA43)-U42</f>
        <v>0</v>
      </c>
    </row>
    <row r="49" spans="1:21">
      <c r="E49" s="108">
        <f>IF(SUM(B12:D13)=0,0,SUM(B12:D13)/'Sm Comm Cust Fcst'!$W44)-E43</f>
        <v>0</v>
      </c>
      <c r="I49" s="108">
        <f>IF(SUM(F12:H13)=0,0,SUM(F12:H13)/'Sm Comm Cust Fcst'!$X44)-I43</f>
        <v>0</v>
      </c>
      <c r="M49" s="108">
        <f>IF(SUM(J12:L13)=0,0,SUM(J12:L13)/'Sm Comm Cust Fcst'!$Y44)-M43</f>
        <v>0</v>
      </c>
      <c r="Q49" s="108">
        <f>IF(SUM(N12:P13)=0,0,SUM(N12:P13)/'Sm Comm Cust Fcst'!$Z44)-Q43</f>
        <v>0</v>
      </c>
      <c r="U49" s="108">
        <f>IF(SUM(R12:T13)=0,0,SUM(R12:T13)/'Sm Comm Cust Fcst'!$AA44)-U43</f>
        <v>0</v>
      </c>
    </row>
    <row r="50" spans="1:21">
      <c r="E50" s="108">
        <f>IF(SUM(B14:D38)=0,0,SUM(B14:D38)/'Sm Comm Cust Fcst'!$W45)-E44</f>
        <v>0</v>
      </c>
      <c r="I50" s="108">
        <f>IF(SUM(F14:H38)=0,0,SUM(F14:H38)/'Sm Comm Cust Fcst'!$X45)-I44</f>
        <v>0</v>
      </c>
      <c r="M50" s="108">
        <f>IF(SUM(J14:L38)=0,0,SUM(J14:L38)/'Sm Comm Cust Fcst'!$Y45)-M44</f>
        <v>0</v>
      </c>
      <c r="Q50" s="108">
        <f>IF(SUM(N14:P38)=0,0,SUM(N14:P38)/'Sm Comm Cust Fcst'!$Z45)-Q44</f>
        <v>0</v>
      </c>
      <c r="U50" s="108">
        <f>IF(SUM(R14:T38)=0,0,SUM(R14:T38)/'Sm Comm Cust Fcst'!$AA45)-U44</f>
        <v>0</v>
      </c>
    </row>
    <row r="53" spans="1:21">
      <c r="A53" s="19"/>
    </row>
    <row r="65" spans="1:1">
      <c r="A65" s="19"/>
    </row>
  </sheetData>
  <mergeCells count="7">
    <mergeCell ref="A1:Q1"/>
    <mergeCell ref="B2:U2"/>
    <mergeCell ref="B3:E3"/>
    <mergeCell ref="F3:I3"/>
    <mergeCell ref="J3:M3"/>
    <mergeCell ref="N3:Q3"/>
    <mergeCell ref="R3:U3"/>
  </mergeCells>
  <printOptions horizontalCentered="1"/>
  <pageMargins left="0.75" right="0.75" top="1" bottom="1" header="0.5" footer="0.5"/>
  <pageSetup scale="36" orientation="portrait" r:id="rId1"/>
  <headerFooter alignWithMargins="0">
    <oddFooter>&amp;L&amp;F
&amp;A&amp;R&amp;P of &amp;N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Sheet26">
    <tabColor rgb="FF00642D"/>
    <pageSetUpPr fitToPage="1"/>
  </sheetPr>
  <dimension ref="A1:P59"/>
  <sheetViews>
    <sheetView zoomScaleNormal="100" workbookViewId="0">
      <selection activeCell="A26" sqref="A26:A28"/>
    </sheetView>
  </sheetViews>
  <sheetFormatPr defaultRowHeight="12.75"/>
  <cols>
    <col min="1" max="1" width="41.140625" customWidth="1"/>
    <col min="2" max="6" width="11.140625" customWidth="1"/>
    <col min="8" max="8" width="9.85546875" bestFit="1" customWidth="1"/>
    <col min="9" max="9" width="10.85546875" bestFit="1" customWidth="1"/>
    <col min="12" max="12" width="9.140625" bestFit="1" customWidth="1"/>
    <col min="13" max="13" width="10.28515625" bestFit="1" customWidth="1"/>
    <col min="14" max="14" width="11.28515625" bestFit="1" customWidth="1"/>
    <col min="15" max="15" width="10.140625" bestFit="1" customWidth="1"/>
    <col min="16" max="16" width="9.140625" bestFit="1" customWidth="1"/>
  </cols>
  <sheetData>
    <row r="1" spans="1:16" ht="18.75" thickBot="1">
      <c r="A1" s="826" t="s">
        <v>215</v>
      </c>
      <c r="B1" s="826"/>
      <c r="C1" s="826"/>
      <c r="D1" s="826"/>
      <c r="E1" s="826"/>
      <c r="F1" s="826"/>
    </row>
    <row r="2" spans="1:16" ht="13.5" thickBot="1">
      <c r="A2" s="131"/>
      <c r="B2" s="838" t="s">
        <v>213</v>
      </c>
      <c r="C2" s="839"/>
      <c r="D2" s="839"/>
      <c r="E2" s="839"/>
      <c r="F2" s="839"/>
      <c r="G2" s="839"/>
      <c r="H2" s="839"/>
      <c r="I2" s="839"/>
      <c r="J2" s="839"/>
      <c r="K2" s="839"/>
      <c r="L2" s="839"/>
      <c r="M2" s="839"/>
      <c r="N2" s="839"/>
      <c r="O2" s="839"/>
      <c r="P2" s="839"/>
    </row>
    <row r="3" spans="1:16" ht="13.5" thickBot="1">
      <c r="A3" s="196"/>
      <c r="B3" s="827" t="s">
        <v>0</v>
      </c>
      <c r="C3" s="828"/>
      <c r="D3" s="828"/>
      <c r="E3" s="828"/>
      <c r="F3" s="829"/>
      <c r="G3" s="828" t="s">
        <v>1</v>
      </c>
      <c r="H3" s="828"/>
      <c r="I3" s="828"/>
      <c r="J3" s="828"/>
      <c r="K3" s="829"/>
      <c r="L3" s="827" t="s">
        <v>441</v>
      </c>
      <c r="M3" s="828"/>
      <c r="N3" s="828"/>
      <c r="O3" s="828"/>
      <c r="P3" s="829"/>
    </row>
    <row r="4" spans="1:16" ht="13.5" thickBot="1">
      <c r="A4" s="102" t="s">
        <v>47</v>
      </c>
      <c r="B4" s="616" t="s">
        <v>103</v>
      </c>
      <c r="C4" s="617" t="s">
        <v>128</v>
      </c>
      <c r="D4" s="617" t="s">
        <v>129</v>
      </c>
      <c r="E4" s="617" t="s">
        <v>130</v>
      </c>
      <c r="F4" s="618" t="s">
        <v>2</v>
      </c>
      <c r="G4" s="707" t="s">
        <v>103</v>
      </c>
      <c r="H4" s="705" t="s">
        <v>128</v>
      </c>
      <c r="I4" s="705" t="s">
        <v>129</v>
      </c>
      <c r="J4" s="705" t="s">
        <v>130</v>
      </c>
      <c r="K4" s="706" t="s">
        <v>168</v>
      </c>
      <c r="L4" s="707" t="s">
        <v>103</v>
      </c>
      <c r="M4" s="705" t="s">
        <v>128</v>
      </c>
      <c r="N4" s="705" t="s">
        <v>129</v>
      </c>
      <c r="O4" s="705" t="s">
        <v>130</v>
      </c>
      <c r="P4" s="706" t="s">
        <v>2</v>
      </c>
    </row>
    <row r="5" spans="1:16">
      <c r="A5" s="621"/>
      <c r="B5" s="39"/>
      <c r="C5" s="176"/>
      <c r="D5" s="176"/>
      <c r="E5" s="176"/>
      <c r="F5" s="373"/>
      <c r="G5" s="39"/>
      <c r="H5" s="176"/>
      <c r="I5" s="176"/>
      <c r="J5" s="176"/>
      <c r="K5" s="373"/>
      <c r="L5" s="39"/>
      <c r="M5" s="176"/>
      <c r="N5" s="176"/>
      <c r="O5" s="176"/>
      <c r="P5" s="373"/>
    </row>
    <row r="6" spans="1:16">
      <c r="A6" s="145"/>
      <c r="B6" s="40"/>
      <c r="C6" s="84"/>
      <c r="D6" s="84"/>
      <c r="E6" s="84"/>
      <c r="F6" s="161"/>
      <c r="G6" s="40"/>
      <c r="H6" s="84"/>
      <c r="I6" s="84"/>
      <c r="J6" s="84"/>
      <c r="K6" s="161"/>
      <c r="L6" s="40"/>
      <c r="M6" s="84"/>
      <c r="N6" s="84"/>
      <c r="O6" s="84"/>
      <c r="P6" s="161"/>
    </row>
    <row r="7" spans="1:16">
      <c r="A7" s="145" t="s">
        <v>49</v>
      </c>
      <c r="B7" s="40"/>
      <c r="C7" s="84"/>
      <c r="D7" s="84"/>
      <c r="E7" s="84"/>
      <c r="F7" s="161"/>
      <c r="G7" s="40"/>
      <c r="H7" s="84"/>
      <c r="I7" s="84"/>
      <c r="J7" s="84"/>
      <c r="K7" s="161"/>
      <c r="L7" s="40"/>
      <c r="M7" s="84"/>
      <c r="N7" s="84"/>
      <c r="O7" s="84"/>
      <c r="P7" s="161"/>
    </row>
    <row r="8" spans="1:16">
      <c r="A8" s="517"/>
      <c r="B8" s="41"/>
      <c r="C8" s="85"/>
      <c r="D8" s="85"/>
      <c r="E8" s="85"/>
      <c r="F8" s="162"/>
      <c r="G8" s="41"/>
      <c r="H8" s="85"/>
      <c r="I8" s="85"/>
      <c r="J8" s="85"/>
      <c r="K8" s="162"/>
      <c r="L8" s="41"/>
      <c r="M8" s="85"/>
      <c r="N8" s="85"/>
      <c r="O8" s="85"/>
      <c r="P8" s="162"/>
    </row>
    <row r="9" spans="1:16">
      <c r="A9" s="145" t="s">
        <v>53</v>
      </c>
      <c r="B9" s="139">
        <f>'Sch UM TSM'!$R$41</f>
        <v>748.36410573994965</v>
      </c>
      <c r="C9" s="37">
        <f>'Sch UM TSM'!$R$42</f>
        <v>1091.3643208707599</v>
      </c>
      <c r="D9" s="37">
        <f>'Sch UM TSM'!$R$43</f>
        <v>3352.8322855322408</v>
      </c>
      <c r="E9" s="37">
        <f>'Sch UM TSM'!$R$44</f>
        <v>19910.35524103084</v>
      </c>
      <c r="F9" s="38">
        <f>'Sch UM TSM'!$R$40</f>
        <v>3460.8829950802069</v>
      </c>
      <c r="G9" s="139"/>
      <c r="H9" s="37"/>
      <c r="I9" s="37"/>
      <c r="J9" s="37"/>
      <c r="K9" s="38"/>
      <c r="L9" s="139">
        <f>'Sch UM TSM'!$R$41</f>
        <v>748.36410573994965</v>
      </c>
      <c r="M9" s="37">
        <f>'Sch UM TSM'!$R$42</f>
        <v>1091.3643208707599</v>
      </c>
      <c r="N9" s="37">
        <f>'Sch UM TSM'!$R$43</f>
        <v>3352.8322855322408</v>
      </c>
      <c r="O9" s="37">
        <f>'Sch UM TSM'!$R$44</f>
        <v>19910.35524103084</v>
      </c>
      <c r="P9" s="38">
        <f>'Sch UM TSM'!$R$40</f>
        <v>3460.8829950802069</v>
      </c>
    </row>
    <row r="10" spans="1:16">
      <c r="A10" s="145" t="s">
        <v>51</v>
      </c>
      <c r="B10" s="139">
        <f>'Sch UM TSM'!$S$41</f>
        <v>112.16712195266034</v>
      </c>
      <c r="C10" s="37">
        <f>'Sch UM TSM'!$S$42</f>
        <v>140.14208440869012</v>
      </c>
      <c r="D10" s="37">
        <f>'Sch UM TSM'!$S$43</f>
        <v>286.62068549899624</v>
      </c>
      <c r="E10" s="37">
        <f>'Sch UM TSM'!$S$44</f>
        <v>10642.360195110527</v>
      </c>
      <c r="F10" s="38">
        <f>'Sch UM TSM'!$S$40</f>
        <v>1184.6924708602162</v>
      </c>
      <c r="G10" s="139"/>
      <c r="H10" s="37"/>
      <c r="I10" s="37"/>
      <c r="J10" s="37"/>
      <c r="K10" s="38"/>
      <c r="L10" s="139">
        <f>'Sch UM TSM'!$S$41</f>
        <v>112.16712195266034</v>
      </c>
      <c r="M10" s="37">
        <f>'Sch UM TSM'!$S$42</f>
        <v>140.14208440869012</v>
      </c>
      <c r="N10" s="37">
        <f>'Sch UM TSM'!$S$43</f>
        <v>286.62068549899624</v>
      </c>
      <c r="O10" s="37">
        <f>'Sch UM TSM'!$S$44</f>
        <v>10642.360195110527</v>
      </c>
      <c r="P10" s="38">
        <f>'Sch UM TSM'!$S$40</f>
        <v>1184.6924708602162</v>
      </c>
    </row>
    <row r="11" spans="1:16">
      <c r="A11" s="145" t="s">
        <v>52</v>
      </c>
      <c r="B11" s="139">
        <f>'Sch UM TSM'!$T$41</f>
        <v>0</v>
      </c>
      <c r="C11" s="37">
        <f>'Sch UM TSM'!$T$42</f>
        <v>0</v>
      </c>
      <c r="D11" s="37">
        <f>'Sch UM TSM'!$T$43</f>
        <v>0</v>
      </c>
      <c r="E11" s="37">
        <f>'Sch UM TSM'!$T$44</f>
        <v>0</v>
      </c>
      <c r="F11" s="38">
        <f>'Sch UM TSM'!$T$40</f>
        <v>0</v>
      </c>
      <c r="G11" s="139"/>
      <c r="H11" s="37"/>
      <c r="I11" s="37"/>
      <c r="J11" s="37"/>
      <c r="K11" s="38"/>
      <c r="L11" s="139">
        <f>'Sch UM TSM'!$T$41</f>
        <v>0</v>
      </c>
      <c r="M11" s="37">
        <f>'Sch UM TSM'!$T$42</f>
        <v>0</v>
      </c>
      <c r="N11" s="37">
        <f>'Sch UM TSM'!$T$43</f>
        <v>0</v>
      </c>
      <c r="O11" s="37">
        <f>'Sch UM TSM'!$T$44</f>
        <v>0</v>
      </c>
      <c r="P11" s="38">
        <f>'Sch UM TSM'!$T$40</f>
        <v>0</v>
      </c>
    </row>
    <row r="12" spans="1:16">
      <c r="A12" s="518"/>
      <c r="B12" s="431"/>
      <c r="C12" s="432"/>
      <c r="D12" s="432"/>
      <c r="E12" s="432"/>
      <c r="F12" s="433"/>
      <c r="G12" s="42"/>
      <c r="H12" s="86"/>
      <c r="I12" s="86"/>
      <c r="J12" s="86"/>
      <c r="K12" s="375"/>
      <c r="L12" s="42"/>
      <c r="M12" s="86"/>
      <c r="N12" s="86"/>
      <c r="O12" s="86"/>
      <c r="P12" s="375"/>
    </row>
    <row r="13" spans="1:16">
      <c r="A13" s="145" t="s">
        <v>35</v>
      </c>
      <c r="B13" s="143">
        <f>SUM(B9:B11)</f>
        <v>860.53122769260995</v>
      </c>
      <c r="C13" s="163">
        <f>SUM(C9:C11)</f>
        <v>1231.5064052794501</v>
      </c>
      <c r="D13" s="163">
        <f>SUM(D9:D11)</f>
        <v>3639.4529710312372</v>
      </c>
      <c r="E13" s="163">
        <f>SUM(E9:E11)</f>
        <v>30552.715436141367</v>
      </c>
      <c r="F13" s="49">
        <f>SUM(F9:F11)</f>
        <v>4645.5754659404229</v>
      </c>
      <c r="G13" s="142"/>
      <c r="H13" s="34"/>
      <c r="I13" s="34"/>
      <c r="J13" s="34"/>
      <c r="K13" s="44"/>
      <c r="L13" s="142">
        <f t="shared" ref="L13:P13" si="0">SUM(L9:L11)</f>
        <v>860.53122769260995</v>
      </c>
      <c r="M13" s="34">
        <f t="shared" si="0"/>
        <v>1231.5064052794501</v>
      </c>
      <c r="N13" s="34">
        <f t="shared" si="0"/>
        <v>3639.4529710312372</v>
      </c>
      <c r="O13" s="34">
        <f t="shared" si="0"/>
        <v>30552.715436141367</v>
      </c>
      <c r="P13" s="44">
        <f t="shared" si="0"/>
        <v>4645.5754659404229</v>
      </c>
    </row>
    <row r="14" spans="1:16">
      <c r="A14" s="518"/>
      <c r="B14" s="431"/>
      <c r="C14" s="432"/>
      <c r="D14" s="432"/>
      <c r="E14" s="432"/>
      <c r="F14" s="433"/>
      <c r="G14" s="42"/>
      <c r="H14" s="86"/>
      <c r="I14" s="86"/>
      <c r="J14" s="86"/>
      <c r="K14" s="375"/>
      <c r="L14" s="42"/>
      <c r="M14" s="86"/>
      <c r="N14" s="86"/>
      <c r="O14" s="86"/>
      <c r="P14" s="375"/>
    </row>
    <row r="15" spans="1:16">
      <c r="A15" s="145" t="s">
        <v>65</v>
      </c>
      <c r="B15" s="143"/>
      <c r="C15" s="163"/>
      <c r="D15" s="163"/>
      <c r="E15" s="163"/>
      <c r="F15" s="49"/>
      <c r="G15" s="142"/>
      <c r="H15" s="34"/>
      <c r="I15" s="34"/>
      <c r="J15" s="34"/>
      <c r="K15" s="44"/>
      <c r="L15" s="142"/>
      <c r="M15" s="34"/>
      <c r="N15" s="34"/>
      <c r="O15" s="34"/>
      <c r="P15" s="44"/>
    </row>
    <row r="16" spans="1:16">
      <c r="A16" s="519">
        <f>Inputs!C3</f>
        <v>2.7723662892949787E-2</v>
      </c>
      <c r="B16" s="143"/>
      <c r="C16" s="163"/>
      <c r="D16" s="163"/>
      <c r="E16" s="163"/>
      <c r="F16" s="49"/>
      <c r="G16" s="142"/>
      <c r="H16" s="34"/>
      <c r="I16" s="34"/>
      <c r="J16" s="34"/>
      <c r="K16" s="44"/>
      <c r="L16" s="142"/>
      <c r="M16" s="34"/>
      <c r="N16" s="34"/>
      <c r="O16" s="34"/>
      <c r="P16" s="44"/>
    </row>
    <row r="17" spans="1:16">
      <c r="A17" s="40" t="s">
        <v>64</v>
      </c>
      <c r="B17" s="143"/>
      <c r="C17" s="163"/>
      <c r="D17" s="163"/>
      <c r="E17" s="163"/>
      <c r="F17" s="49"/>
      <c r="G17" s="142"/>
      <c r="H17" s="34"/>
      <c r="I17" s="34"/>
      <c r="J17" s="34"/>
      <c r="K17" s="44"/>
      <c r="L17" s="142"/>
      <c r="M17" s="34"/>
      <c r="N17" s="34"/>
      <c r="O17" s="34"/>
      <c r="P17" s="44"/>
    </row>
    <row r="18" spans="1:16">
      <c r="A18" s="53">
        <f>Inputs!C4</f>
        <v>1.5023E-2</v>
      </c>
      <c r="B18" s="143"/>
      <c r="C18" s="163"/>
      <c r="D18" s="163"/>
      <c r="E18" s="163"/>
      <c r="F18" s="49"/>
      <c r="G18" s="142"/>
      <c r="H18" s="34"/>
      <c r="I18" s="34"/>
      <c r="J18" s="34"/>
      <c r="K18" s="44"/>
      <c r="L18" s="142"/>
      <c r="M18" s="34"/>
      <c r="N18" s="34"/>
      <c r="O18" s="34"/>
      <c r="P18" s="44"/>
    </row>
    <row r="19" spans="1:16">
      <c r="A19" s="519"/>
      <c r="B19" s="143"/>
      <c r="C19" s="163"/>
      <c r="D19" s="163"/>
      <c r="E19" s="163"/>
      <c r="F19" s="49"/>
      <c r="G19" s="142"/>
      <c r="H19" s="34"/>
      <c r="I19" s="34"/>
      <c r="J19" s="34"/>
      <c r="K19" s="44"/>
      <c r="L19" s="142"/>
      <c r="M19" s="34"/>
      <c r="N19" s="34"/>
      <c r="O19" s="34"/>
      <c r="P19" s="44"/>
    </row>
    <row r="20" spans="1:16">
      <c r="A20" s="520" t="s">
        <v>111</v>
      </c>
      <c r="B20" s="142">
        <f>(B9*(1+$A$16)*(1+$A$18))</f>
        <v>780.66586199209621</v>
      </c>
      <c r="C20" s="34">
        <f t="shared" ref="C20:F20" si="1">(C9*(1+$A$16)*(1+$A$18))</f>
        <v>1138.4710487384737</v>
      </c>
      <c r="D20" s="34">
        <f t="shared" si="1"/>
        <v>3497.5511067730126</v>
      </c>
      <c r="E20" s="34">
        <f t="shared" si="1"/>
        <v>20769.748999973246</v>
      </c>
      <c r="F20" s="34">
        <f t="shared" si="1"/>
        <v>3610.265625896986</v>
      </c>
      <c r="G20" s="142"/>
      <c r="H20" s="34"/>
      <c r="I20" s="34"/>
      <c r="J20" s="34"/>
      <c r="K20" s="44"/>
      <c r="L20" s="142">
        <f>(L9*(1+$A$16)*(1+$A$18))</f>
        <v>780.66586199209621</v>
      </c>
      <c r="M20" s="34">
        <f t="shared" ref="M20:P20" si="2">(M9*(1+$A$16)*(1+$A$18))</f>
        <v>1138.4710487384737</v>
      </c>
      <c r="N20" s="34">
        <f t="shared" si="2"/>
        <v>3497.5511067730126</v>
      </c>
      <c r="O20" s="34">
        <f t="shared" si="2"/>
        <v>20769.748999973246</v>
      </c>
      <c r="P20" s="44">
        <f t="shared" si="2"/>
        <v>3610.265625896986</v>
      </c>
    </row>
    <row r="21" spans="1:16">
      <c r="A21" s="520" t="s">
        <v>51</v>
      </c>
      <c r="B21" s="142">
        <f t="shared" ref="B21:F22" si="3">(B10*(1+$A$16)*(1+$A$18))</f>
        <v>117.00860887731339</v>
      </c>
      <c r="C21" s="34">
        <f t="shared" si="3"/>
        <v>146.19105898739647</v>
      </c>
      <c r="D21" s="34">
        <f t="shared" si="3"/>
        <v>298.99213871114284</v>
      </c>
      <c r="E21" s="34">
        <f t="shared" si="3"/>
        <v>11101.718042892531</v>
      </c>
      <c r="F21" s="34">
        <f t="shared" si="3"/>
        <v>1235.8275361766409</v>
      </c>
      <c r="G21" s="142"/>
      <c r="H21" s="34"/>
      <c r="I21" s="34"/>
      <c r="J21" s="34"/>
      <c r="K21" s="44"/>
      <c r="L21" s="142">
        <f t="shared" ref="L21:P21" si="4">(L10*(1+$A$16)*(1+$A$18))</f>
        <v>117.00860887731339</v>
      </c>
      <c r="M21" s="34">
        <f t="shared" si="4"/>
        <v>146.19105898739647</v>
      </c>
      <c r="N21" s="34">
        <f t="shared" si="4"/>
        <v>298.99213871114284</v>
      </c>
      <c r="O21" s="34">
        <f t="shared" si="4"/>
        <v>11101.718042892531</v>
      </c>
      <c r="P21" s="44">
        <f t="shared" si="4"/>
        <v>1235.8275361766409</v>
      </c>
    </row>
    <row r="22" spans="1:16">
      <c r="A22" s="520" t="s">
        <v>52</v>
      </c>
      <c r="B22" s="142">
        <f t="shared" si="3"/>
        <v>0</v>
      </c>
      <c r="C22" s="34">
        <f t="shared" si="3"/>
        <v>0</v>
      </c>
      <c r="D22" s="34">
        <f t="shared" si="3"/>
        <v>0</v>
      </c>
      <c r="E22" s="34">
        <f t="shared" si="3"/>
        <v>0</v>
      </c>
      <c r="F22" s="34">
        <f t="shared" si="3"/>
        <v>0</v>
      </c>
      <c r="G22" s="142"/>
      <c r="H22" s="34"/>
      <c r="I22" s="34"/>
      <c r="J22" s="34"/>
      <c r="K22" s="44"/>
      <c r="L22" s="142">
        <f t="shared" ref="L22:P22" si="5">(L11*(1+$A$16)*(1+$A$18))</f>
        <v>0</v>
      </c>
      <c r="M22" s="34">
        <f t="shared" si="5"/>
        <v>0</v>
      </c>
      <c r="N22" s="34">
        <f t="shared" si="5"/>
        <v>0</v>
      </c>
      <c r="O22" s="34">
        <f t="shared" si="5"/>
        <v>0</v>
      </c>
      <c r="P22" s="44">
        <f t="shared" si="5"/>
        <v>0</v>
      </c>
    </row>
    <row r="23" spans="1:16">
      <c r="A23" s="520"/>
      <c r="B23" s="142"/>
      <c r="C23" s="163"/>
      <c r="D23" s="163"/>
      <c r="E23" s="163"/>
      <c r="F23" s="49"/>
      <c r="G23" s="142"/>
      <c r="H23" s="34"/>
      <c r="I23" s="34"/>
      <c r="J23" s="34"/>
      <c r="K23" s="44"/>
      <c r="L23" s="142"/>
      <c r="M23" s="34"/>
      <c r="N23" s="34"/>
      <c r="O23" s="34"/>
      <c r="P23" s="44"/>
    </row>
    <row r="24" spans="1:16">
      <c r="A24" s="145" t="s">
        <v>35</v>
      </c>
      <c r="B24" s="143">
        <f>B20+B21+B22</f>
        <v>897.67447086940956</v>
      </c>
      <c r="C24" s="163">
        <f>C20+C21+C22</f>
        <v>1284.6621077258701</v>
      </c>
      <c r="D24" s="163">
        <f>D20+D21+D22</f>
        <v>3796.5432454841557</v>
      </c>
      <c r="E24" s="163">
        <f>E20+E21+E22</f>
        <v>31871.467042865777</v>
      </c>
      <c r="F24" s="49">
        <f>F20+F21+F22</f>
        <v>4846.0931620736264</v>
      </c>
      <c r="G24" s="142"/>
      <c r="H24" s="34"/>
      <c r="I24" s="34"/>
      <c r="J24" s="34"/>
      <c r="K24" s="44"/>
      <c r="L24" s="142">
        <f t="shared" ref="L24:P24" si="6">SUM(L20:L22)</f>
        <v>897.67447086940956</v>
      </c>
      <c r="M24" s="34">
        <f t="shared" si="6"/>
        <v>1284.6621077258701</v>
      </c>
      <c r="N24" s="34">
        <f t="shared" ref="N24:O24" si="7">SUM(N20:N22)</f>
        <v>3796.5432454841557</v>
      </c>
      <c r="O24" s="34">
        <f t="shared" si="7"/>
        <v>31871.467042865777</v>
      </c>
      <c r="P24" s="44">
        <f t="shared" si="6"/>
        <v>4846.0931620736264</v>
      </c>
    </row>
    <row r="25" spans="1:16">
      <c r="A25" s="518"/>
      <c r="B25" s="431"/>
      <c r="C25" s="432"/>
      <c r="D25" s="432"/>
      <c r="E25" s="432"/>
      <c r="F25" s="433"/>
      <c r="G25" s="142"/>
      <c r="H25" s="34"/>
      <c r="I25" s="34"/>
      <c r="J25" s="34"/>
      <c r="K25" s="44"/>
      <c r="L25" s="142"/>
      <c r="M25" s="34"/>
      <c r="N25" s="34"/>
      <c r="O25" s="34"/>
      <c r="P25" s="44"/>
    </row>
    <row r="26" spans="1:16">
      <c r="A26" s="806" t="str">
        <f>'Resid TSM Sum by Rate Schedule'!A25</f>
        <v>Annualized Transformer Cost at 8.05%</v>
      </c>
      <c r="B26" s="147">
        <f>B20*Inputs!$C$5</f>
        <v>62.826944458708923</v>
      </c>
      <c r="C26" s="97">
        <f>C20*Inputs!$C$5</f>
        <v>91.622627335617182</v>
      </c>
      <c r="D26" s="97">
        <f>D20*Inputs!$C$5</f>
        <v>281.47823521575833</v>
      </c>
      <c r="E26" s="97">
        <f>E20*Inputs!$C$5</f>
        <v>1671.5216206749615</v>
      </c>
      <c r="F26" s="99">
        <f>F20*Inputs!$C$5</f>
        <v>290.54934896296567</v>
      </c>
      <c r="G26" s="147"/>
      <c r="H26" s="97"/>
      <c r="I26" s="97"/>
      <c r="J26" s="97"/>
      <c r="K26" s="99"/>
      <c r="L26" s="147">
        <f>L20*Inputs!$C$5</f>
        <v>62.826944458708923</v>
      </c>
      <c r="M26" s="97">
        <f>M20*Inputs!$C$5</f>
        <v>91.622627335617182</v>
      </c>
      <c r="N26" s="97">
        <f>N20*Inputs!$C$5</f>
        <v>281.47823521575833</v>
      </c>
      <c r="O26" s="97">
        <f>O20*Inputs!$C$5</f>
        <v>1671.5216206749615</v>
      </c>
      <c r="P26" s="99">
        <f>P20*Inputs!$C$5</f>
        <v>290.54934896296567</v>
      </c>
    </row>
    <row r="27" spans="1:16">
      <c r="A27" s="806" t="str">
        <f>'Resid TSM Sum by Rate Schedule'!A26</f>
        <v>Annualized Services Cost at 7.08%</v>
      </c>
      <c r="B27" s="147">
        <f>B21*Inputs!$C$6</f>
        <v>8.2812913069908429</v>
      </c>
      <c r="C27" s="97">
        <f>C21*Inputs!$C$6</f>
        <v>10.346680962778654</v>
      </c>
      <c r="D27" s="97">
        <f>D21*Inputs!$C$6</f>
        <v>21.161186539388581</v>
      </c>
      <c r="E27" s="97">
        <f>E21*Inputs!$C$6</f>
        <v>785.72475994195611</v>
      </c>
      <c r="F27" s="99">
        <f>F21*Inputs!$C$6</f>
        <v>87.465767950548027</v>
      </c>
      <c r="G27" s="147"/>
      <c r="H27" s="97"/>
      <c r="I27" s="97"/>
      <c r="J27" s="97"/>
      <c r="K27" s="99"/>
      <c r="L27" s="147">
        <f>L21*Inputs!$C$6</f>
        <v>8.2812913069908429</v>
      </c>
      <c r="M27" s="97">
        <f>M21*Inputs!$C$6</f>
        <v>10.346680962778654</v>
      </c>
      <c r="N27" s="97">
        <f>N21*Inputs!$C$6</f>
        <v>21.161186539388581</v>
      </c>
      <c r="O27" s="97">
        <f>O21*Inputs!$C$6</f>
        <v>785.72475994195611</v>
      </c>
      <c r="P27" s="99">
        <f>P21*Inputs!$C$6</f>
        <v>87.465767950548027</v>
      </c>
    </row>
    <row r="28" spans="1:16" ht="15">
      <c r="A28" s="806" t="str">
        <f>'Resid TSM Sum by Rate Schedule'!A27</f>
        <v>Annualized Meter Cost at 10.78%</v>
      </c>
      <c r="B28" s="628">
        <f>B22*Inputs!$C$7</f>
        <v>0</v>
      </c>
      <c r="C28" s="627">
        <f>C22*Inputs!$C$7</f>
        <v>0</v>
      </c>
      <c r="D28" s="627">
        <f>D22*Inputs!$C$7</f>
        <v>0</v>
      </c>
      <c r="E28" s="627">
        <f>E22*Inputs!$C$7</f>
        <v>0</v>
      </c>
      <c r="F28" s="626">
        <f>F22*Inputs!$C$7</f>
        <v>0</v>
      </c>
      <c r="G28" s="628"/>
      <c r="H28" s="627"/>
      <c r="I28" s="627"/>
      <c r="J28" s="627"/>
      <c r="K28" s="626"/>
      <c r="L28" s="628">
        <f>L22*Inputs!$C$7</f>
        <v>0</v>
      </c>
      <c r="M28" s="627">
        <f>M22*Inputs!$C$7</f>
        <v>0</v>
      </c>
      <c r="N28" s="627">
        <f>N22*Inputs!$C$7</f>
        <v>0</v>
      </c>
      <c r="O28" s="627">
        <f>O22*Inputs!$C$7</f>
        <v>0</v>
      </c>
      <c r="P28" s="626">
        <f>P22*Inputs!$C$7</f>
        <v>0</v>
      </c>
    </row>
    <row r="29" spans="1:16">
      <c r="A29" s="621" t="s">
        <v>380</v>
      </c>
      <c r="B29" s="147">
        <f>SUM(B26:B28)</f>
        <v>71.10823576569976</v>
      </c>
      <c r="C29" s="97">
        <f>SUM(C26:C28)</f>
        <v>101.96930829839583</v>
      </c>
      <c r="D29" s="97">
        <f>SUM(D26:D28)</f>
        <v>302.63942175514694</v>
      </c>
      <c r="E29" s="97">
        <f>SUM(E26:E28)</f>
        <v>2457.2463806169176</v>
      </c>
      <c r="F29" s="99">
        <f>SUM(F26:F28)</f>
        <v>378.01511691351368</v>
      </c>
      <c r="G29" s="147"/>
      <c r="H29" s="97"/>
      <c r="I29" s="97"/>
      <c r="J29" s="97"/>
      <c r="K29" s="99"/>
      <c r="L29" s="147">
        <f t="shared" ref="L29:P29" si="8">SUM(L26:L28)</f>
        <v>71.10823576569976</v>
      </c>
      <c r="M29" s="97">
        <f t="shared" si="8"/>
        <v>101.96930829839583</v>
      </c>
      <c r="N29" s="97">
        <f t="shared" ref="N29:O29" si="9">SUM(N26:N28)</f>
        <v>302.63942175514694</v>
      </c>
      <c r="O29" s="97">
        <f t="shared" si="9"/>
        <v>2457.2463806169176</v>
      </c>
      <c r="P29" s="99">
        <f t="shared" si="8"/>
        <v>378.01511691351368</v>
      </c>
    </row>
    <row r="30" spans="1:16">
      <c r="A30" s="519"/>
      <c r="B30" s="178"/>
      <c r="C30" s="88"/>
      <c r="D30" s="88"/>
      <c r="E30" s="88"/>
      <c r="F30" s="374"/>
      <c r="G30" s="53"/>
      <c r="H30" s="87"/>
      <c r="I30" s="87"/>
      <c r="J30" s="87"/>
      <c r="K30" s="376"/>
      <c r="L30" s="53"/>
      <c r="M30" s="87"/>
      <c r="N30" s="87"/>
      <c r="O30" s="87"/>
      <c r="P30" s="376"/>
    </row>
    <row r="31" spans="1:16">
      <c r="A31" s="145" t="s">
        <v>50</v>
      </c>
      <c r="B31" s="178">
        <f>'Distribution O&amp;M Allocations'!$Q$20</f>
        <v>47.635928438621129</v>
      </c>
      <c r="C31" s="88">
        <f>'Distribution O&amp;M Allocations'!$Q$20</f>
        <v>47.635928438621129</v>
      </c>
      <c r="D31" s="88">
        <f>'Distribution O&amp;M Allocations'!$Q$20</f>
        <v>47.635928438621129</v>
      </c>
      <c r="E31" s="88">
        <f>'Distribution O&amp;M Allocations'!$Q$20</f>
        <v>47.635928438621129</v>
      </c>
      <c r="F31" s="374">
        <f>'Distribution O&amp;M Allocations'!$Q$20</f>
        <v>47.635928438621129</v>
      </c>
      <c r="G31" s="178"/>
      <c r="H31" s="88"/>
      <c r="I31" s="88"/>
      <c r="J31" s="88"/>
      <c r="K31" s="374"/>
      <c r="L31" s="178">
        <f>'Distribution O&amp;M Allocations'!$Q$20</f>
        <v>47.635928438621129</v>
      </c>
      <c r="M31" s="88">
        <f>'Distribution O&amp;M Allocations'!$Q$20</f>
        <v>47.635928438621129</v>
      </c>
      <c r="N31" s="88">
        <f>'Distribution O&amp;M Allocations'!$Q$20</f>
        <v>47.635928438621129</v>
      </c>
      <c r="O31" s="88">
        <f>'Distribution O&amp;M Allocations'!$Q$20</f>
        <v>47.635928438621129</v>
      </c>
      <c r="P31" s="374">
        <f>'Distribution O&amp;M Allocations'!$Q$20</f>
        <v>47.635928438621129</v>
      </c>
    </row>
    <row r="32" spans="1:16">
      <c r="A32" s="146"/>
      <c r="B32" s="239"/>
      <c r="C32" s="434"/>
      <c r="D32" s="434"/>
      <c r="E32" s="434"/>
      <c r="F32" s="435"/>
      <c r="G32" s="11"/>
      <c r="H32" s="12"/>
      <c r="I32" s="12"/>
      <c r="J32" s="12"/>
      <c r="K32" s="101"/>
      <c r="L32" s="11"/>
      <c r="M32" s="12"/>
      <c r="N32" s="12"/>
      <c r="O32" s="12"/>
      <c r="P32" s="101"/>
    </row>
    <row r="33" spans="1:16">
      <c r="A33" s="145" t="s">
        <v>61</v>
      </c>
      <c r="B33" s="380">
        <f>'Cust Service Cost Allocations'!$Q$76</f>
        <v>36.239672311891255</v>
      </c>
      <c r="C33" s="109">
        <f>'Cust Service Cost Allocations'!$Q$76</f>
        <v>36.239672311891255</v>
      </c>
      <c r="D33" s="109">
        <f>'Cust Service Cost Allocations'!$Q$76</f>
        <v>36.239672311891255</v>
      </c>
      <c r="E33" s="109">
        <f>'Cust Service Cost Allocations'!$Q$76</f>
        <v>36.239672311891255</v>
      </c>
      <c r="F33" s="381">
        <f>'Cust Service Cost Allocations'!$Q$76</f>
        <v>36.239672311891255</v>
      </c>
      <c r="G33" s="380"/>
      <c r="H33" s="109"/>
      <c r="I33" s="109"/>
      <c r="J33" s="109"/>
      <c r="K33" s="381"/>
      <c r="L33" s="380">
        <f>'Cust Service Cost Allocations'!$Q$76</f>
        <v>36.239672311891255</v>
      </c>
      <c r="M33" s="109">
        <f>'Cust Service Cost Allocations'!$Q$76</f>
        <v>36.239672311891255</v>
      </c>
      <c r="N33" s="109">
        <f>'Cust Service Cost Allocations'!$Q$76</f>
        <v>36.239672311891255</v>
      </c>
      <c r="O33" s="109">
        <f>'Cust Service Cost Allocations'!$Q$76</f>
        <v>36.239672311891255</v>
      </c>
      <c r="P33" s="381">
        <f>'Cust Service Cost Allocations'!$Q$76</f>
        <v>36.239672311891255</v>
      </c>
    </row>
    <row r="34" spans="1:16">
      <c r="A34" s="146"/>
      <c r="B34" s="239"/>
      <c r="C34" s="434"/>
      <c r="D34" s="434"/>
      <c r="E34" s="434"/>
      <c r="F34" s="435"/>
      <c r="G34" s="11"/>
      <c r="H34" s="12"/>
      <c r="I34" s="12"/>
      <c r="J34" s="12"/>
      <c r="K34" s="101"/>
      <c r="L34" s="11"/>
      <c r="M34" s="12"/>
      <c r="N34" s="12"/>
      <c r="O34" s="12"/>
      <c r="P34" s="101"/>
    </row>
    <row r="35" spans="1:16" ht="13.5" thickBot="1">
      <c r="A35" s="622" t="s">
        <v>98</v>
      </c>
      <c r="B35" s="377">
        <f>B29+B31+B33</f>
        <v>154.98383651621214</v>
      </c>
      <c r="C35" s="378">
        <f>C29+C31+C33</f>
        <v>185.84490904890822</v>
      </c>
      <c r="D35" s="378">
        <f>D29+D31+D33</f>
        <v>386.51502250565932</v>
      </c>
      <c r="E35" s="378">
        <f>E29+E31+E33</f>
        <v>2541.1219813674302</v>
      </c>
      <c r="F35" s="379">
        <f>F29+F31+F33</f>
        <v>461.89071766402606</v>
      </c>
      <c r="G35" s="377"/>
      <c r="H35" s="378"/>
      <c r="I35" s="378"/>
      <c r="J35" s="378"/>
      <c r="K35" s="379"/>
      <c r="L35" s="377">
        <f t="shared" ref="L35:P35" si="10">L29+L31+L33</f>
        <v>154.98383651621214</v>
      </c>
      <c r="M35" s="378">
        <f t="shared" si="10"/>
        <v>185.84490904890822</v>
      </c>
      <c r="N35" s="378">
        <f t="shared" ref="N35:O35" si="11">N29+N31+N33</f>
        <v>386.51502250565932</v>
      </c>
      <c r="O35" s="378">
        <f t="shared" si="11"/>
        <v>2541.1219813674302</v>
      </c>
      <c r="P35" s="379">
        <f t="shared" si="10"/>
        <v>461.89071766402606</v>
      </c>
    </row>
    <row r="36" spans="1:16">
      <c r="A36" s="113"/>
      <c r="B36" s="113"/>
      <c r="C36" s="113"/>
      <c r="D36" s="113"/>
      <c r="E36" s="113"/>
      <c r="F36" s="113"/>
    </row>
    <row r="39" spans="1:16">
      <c r="A39" t="s">
        <v>3</v>
      </c>
    </row>
    <row r="47" spans="1:16">
      <c r="A47" s="19"/>
      <c r="B47" s="19"/>
      <c r="C47" s="19"/>
      <c r="D47" s="19"/>
      <c r="E47" s="19"/>
      <c r="F47" s="19"/>
    </row>
    <row r="59" spans="1:6">
      <c r="A59" s="19"/>
      <c r="B59" s="19"/>
      <c r="C59" s="19"/>
      <c r="D59" s="19"/>
      <c r="E59" s="19"/>
      <c r="F59" s="19"/>
    </row>
  </sheetData>
  <mergeCells count="5">
    <mergeCell ref="A1:F1"/>
    <mergeCell ref="B3:F3"/>
    <mergeCell ref="G3:K3"/>
    <mergeCell ref="L3:P3"/>
    <mergeCell ref="B2:P2"/>
  </mergeCells>
  <printOptions horizontalCentered="1"/>
  <pageMargins left="0.75" right="0.75" top="1" bottom="1" header="0.5" footer="0.5"/>
  <pageSetup scale="94" orientation="portrait" r:id="rId1"/>
  <headerFooter alignWithMargins="0">
    <oddFooter>&amp;L&amp;F
&amp;A&amp;R&amp;P of &amp;N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Sheet25">
    <tabColor rgb="FF00642D"/>
    <pageSetUpPr fitToPage="1"/>
  </sheetPr>
  <dimension ref="A1:P61"/>
  <sheetViews>
    <sheetView zoomScaleNormal="100" workbookViewId="0">
      <selection activeCell="N40" sqref="N40"/>
    </sheetView>
  </sheetViews>
  <sheetFormatPr defaultRowHeight="12.75"/>
  <cols>
    <col min="1" max="1" width="41.140625" customWidth="1"/>
    <col min="2" max="6" width="11.140625" customWidth="1"/>
    <col min="12" max="12" width="9.140625" bestFit="1" customWidth="1"/>
    <col min="13" max="13" width="9.85546875" bestFit="1" customWidth="1"/>
    <col min="14" max="14" width="10.85546875" bestFit="1" customWidth="1"/>
    <col min="15" max="15" width="10.140625" bestFit="1" customWidth="1"/>
    <col min="16" max="16" width="9.140625" bestFit="1" customWidth="1"/>
  </cols>
  <sheetData>
    <row r="1" spans="1:16" ht="18.75" thickBot="1">
      <c r="A1" s="826" t="s">
        <v>431</v>
      </c>
      <c r="B1" s="845"/>
      <c r="C1" s="845"/>
      <c r="D1" s="845"/>
      <c r="E1" s="845"/>
      <c r="F1" s="845"/>
    </row>
    <row r="2" spans="1:16" ht="13.5" thickBot="1">
      <c r="A2" s="131"/>
      <c r="B2" s="827" t="s">
        <v>213</v>
      </c>
      <c r="C2" s="828"/>
      <c r="D2" s="828"/>
      <c r="E2" s="828"/>
      <c r="F2" s="828"/>
      <c r="G2" s="828"/>
      <c r="H2" s="828"/>
      <c r="I2" s="828"/>
      <c r="J2" s="828"/>
      <c r="K2" s="828"/>
      <c r="L2" s="828"/>
      <c r="M2" s="828"/>
      <c r="N2" s="828"/>
      <c r="O2" s="828"/>
      <c r="P2" s="829"/>
    </row>
    <row r="3" spans="1:16" ht="13.5" thickBot="1">
      <c r="A3" s="196"/>
      <c r="B3" s="827" t="s">
        <v>0</v>
      </c>
      <c r="C3" s="828"/>
      <c r="D3" s="828"/>
      <c r="E3" s="828"/>
      <c r="F3" s="829"/>
      <c r="G3" s="828" t="s">
        <v>1</v>
      </c>
      <c r="H3" s="828"/>
      <c r="I3" s="828"/>
      <c r="J3" s="828"/>
      <c r="K3" s="829"/>
      <c r="L3" s="827" t="s">
        <v>441</v>
      </c>
      <c r="M3" s="828"/>
      <c r="N3" s="828"/>
      <c r="O3" s="828"/>
      <c r="P3" s="829"/>
    </row>
    <row r="4" spans="1:16" ht="13.5" thickBot="1">
      <c r="A4" s="102" t="s">
        <v>47</v>
      </c>
      <c r="B4" s="616" t="s">
        <v>103</v>
      </c>
      <c r="C4" s="617" t="s">
        <v>128</v>
      </c>
      <c r="D4" s="617" t="s">
        <v>129</v>
      </c>
      <c r="E4" s="617" t="s">
        <v>130</v>
      </c>
      <c r="F4" s="618" t="s">
        <v>2</v>
      </c>
      <c r="G4" s="710" t="s">
        <v>103</v>
      </c>
      <c r="H4" s="708" t="s">
        <v>128</v>
      </c>
      <c r="I4" s="708" t="s">
        <v>129</v>
      </c>
      <c r="J4" s="708" t="s">
        <v>130</v>
      </c>
      <c r="K4" s="709" t="s">
        <v>168</v>
      </c>
      <c r="L4" s="710" t="s">
        <v>103</v>
      </c>
      <c r="M4" s="708" t="s">
        <v>128</v>
      </c>
      <c r="N4" s="708" t="s">
        <v>129</v>
      </c>
      <c r="O4" s="708" t="s">
        <v>130</v>
      </c>
      <c r="P4" s="709" t="s">
        <v>2</v>
      </c>
    </row>
    <row r="5" spans="1:16">
      <c r="A5" s="621"/>
      <c r="B5" s="39"/>
      <c r="C5" s="176"/>
      <c r="D5" s="176"/>
      <c r="E5" s="176"/>
      <c r="F5" s="373"/>
      <c r="G5" s="39"/>
      <c r="H5" s="176"/>
      <c r="I5" s="176"/>
      <c r="J5" s="176"/>
      <c r="K5" s="373"/>
      <c r="L5" s="39"/>
      <c r="M5" s="176"/>
      <c r="N5" s="176"/>
      <c r="O5" s="176"/>
      <c r="P5" s="373"/>
    </row>
    <row r="6" spans="1:16">
      <c r="A6" s="145"/>
      <c r="B6" s="40"/>
      <c r="C6" s="84"/>
      <c r="D6" s="84"/>
      <c r="E6" s="84"/>
      <c r="F6" s="161"/>
      <c r="G6" s="40"/>
      <c r="H6" s="84"/>
      <c r="I6" s="84"/>
      <c r="J6" s="84"/>
      <c r="K6" s="161"/>
      <c r="L6" s="40"/>
      <c r="M6" s="84"/>
      <c r="N6" s="84"/>
      <c r="O6" s="84"/>
      <c r="P6" s="161"/>
    </row>
    <row r="7" spans="1:16">
      <c r="A7" s="145" t="s">
        <v>49</v>
      </c>
      <c r="B7" s="40"/>
      <c r="C7" s="84"/>
      <c r="D7" s="84"/>
      <c r="E7" s="84"/>
      <c r="F7" s="161"/>
      <c r="G7" s="40"/>
      <c r="H7" s="84"/>
      <c r="I7" s="84"/>
      <c r="J7" s="84"/>
      <c r="K7" s="161"/>
      <c r="L7" s="40"/>
      <c r="M7" s="84"/>
      <c r="N7" s="84"/>
      <c r="O7" s="84"/>
      <c r="P7" s="161"/>
    </row>
    <row r="8" spans="1:16">
      <c r="A8" s="517"/>
      <c r="B8" s="41"/>
      <c r="C8" s="85"/>
      <c r="D8" s="85"/>
      <c r="E8" s="85"/>
      <c r="F8" s="162"/>
      <c r="G8" s="41"/>
      <c r="H8" s="85"/>
      <c r="I8" s="85"/>
      <c r="J8" s="85"/>
      <c r="K8" s="162"/>
      <c r="L8" s="41"/>
      <c r="M8" s="85"/>
      <c r="N8" s="85"/>
      <c r="O8" s="85"/>
      <c r="P8" s="162"/>
    </row>
    <row r="9" spans="1:16">
      <c r="A9" s="145" t="s">
        <v>53</v>
      </c>
      <c r="B9" s="139">
        <f>'Sch UM TSM Summary'!B9*Inputs!$C$12</f>
        <v>812.08286704974159</v>
      </c>
      <c r="C9" s="37">
        <f>'Sch UM TSM Summary'!C9*Inputs!$C$12</f>
        <v>1184.2875144475399</v>
      </c>
      <c r="D9" s="37">
        <f>'Sch UM TSM Summary'!D9*Inputs!$C$12</f>
        <v>3638.3060522121068</v>
      </c>
      <c r="E9" s="37">
        <f>'Sch UM TSM Summary'!E9*Inputs!$C$12</f>
        <v>21605.603801812642</v>
      </c>
      <c r="F9" s="38">
        <f>'Sch UM TSM Summary'!F9*Inputs!$C$12</f>
        <v>3755.5566382884017</v>
      </c>
      <c r="G9" s="139"/>
      <c r="H9" s="37"/>
      <c r="I9" s="37"/>
      <c r="J9" s="37"/>
      <c r="K9" s="38"/>
      <c r="L9" s="139">
        <f>'Sch UM TSM Summary'!L9*Inputs!$C$12</f>
        <v>812.08286704974159</v>
      </c>
      <c r="M9" s="37">
        <f>'Sch UM TSM Summary'!M9*Inputs!$C$12</f>
        <v>1184.2875144475399</v>
      </c>
      <c r="N9" s="37">
        <f>'Sch UM TSM Summary'!N9*Inputs!$C$12</f>
        <v>3638.3060522121068</v>
      </c>
      <c r="O9" s="37">
        <f>'Sch UM TSM Summary'!O9*Inputs!$C$12</f>
        <v>21605.603801812642</v>
      </c>
      <c r="P9" s="38">
        <f>'Sch UM TSM Summary'!P9*Inputs!$C$12</f>
        <v>3755.5566382884017</v>
      </c>
    </row>
    <row r="10" spans="1:16">
      <c r="A10" s="145" t="s">
        <v>51</v>
      </c>
      <c r="B10" s="139">
        <f>'Sch UM TSM Summary'!B10*Inputs!$C$12</f>
        <v>121.71748656219903</v>
      </c>
      <c r="C10" s="37">
        <f>'Sch UM TSM Summary'!C10*Inputs!$C$12</f>
        <v>152.07435101180943</v>
      </c>
      <c r="D10" s="37">
        <f>'Sch UM TSM Summary'!D10*Inputs!$C$12</f>
        <v>311.02473548707218</v>
      </c>
      <c r="E10" s="37">
        <f>'Sch UM TSM Summary'!E10*Inputs!$C$12</f>
        <v>11548.493992608182</v>
      </c>
      <c r="F10" s="38">
        <f>'Sch UM TSM Summary'!F10*Inputs!$C$12</f>
        <v>1285.5620024121222</v>
      </c>
      <c r="G10" s="139"/>
      <c r="H10" s="37"/>
      <c r="I10" s="37"/>
      <c r="J10" s="37"/>
      <c r="K10" s="38"/>
      <c r="L10" s="139">
        <f>'Sch UM TSM Summary'!L10*Inputs!$C$12</f>
        <v>121.71748656219903</v>
      </c>
      <c r="M10" s="37">
        <f>'Sch UM TSM Summary'!M10*Inputs!$C$12</f>
        <v>152.07435101180943</v>
      </c>
      <c r="N10" s="37">
        <f>'Sch UM TSM Summary'!N10*Inputs!$C$12</f>
        <v>311.02473548707218</v>
      </c>
      <c r="O10" s="37">
        <f>'Sch UM TSM Summary'!O10*Inputs!$C$12</f>
        <v>11548.493992608182</v>
      </c>
      <c r="P10" s="38">
        <f>'Sch UM TSM Summary'!P10*Inputs!$C$12</f>
        <v>1285.5620024121222</v>
      </c>
    </row>
    <row r="11" spans="1:16">
      <c r="A11" s="145" t="s">
        <v>52</v>
      </c>
      <c r="B11" s="139">
        <f>'Sch UM TSM Summary'!B11*Inputs!$C$12</f>
        <v>0</v>
      </c>
      <c r="C11" s="37">
        <f>'Sch UM TSM Summary'!C11*Inputs!$C$12</f>
        <v>0</v>
      </c>
      <c r="D11" s="37">
        <f>'Sch UM TSM Summary'!D11*Inputs!$C$12</f>
        <v>0</v>
      </c>
      <c r="E11" s="37">
        <f>'Sch UM TSM Summary'!E11*Inputs!$C$12</f>
        <v>0</v>
      </c>
      <c r="F11" s="38">
        <f>'Sch UM TSM Summary'!F11*Inputs!$C$12</f>
        <v>0</v>
      </c>
      <c r="G11" s="139"/>
      <c r="H11" s="37"/>
      <c r="I11" s="37"/>
      <c r="J11" s="37"/>
      <c r="K11" s="38"/>
      <c r="L11" s="139">
        <f>'Sch UM TSM Summary'!L11*Inputs!$C$12</f>
        <v>0</v>
      </c>
      <c r="M11" s="37">
        <f>'Sch UM TSM Summary'!M11*Inputs!$C$12</f>
        <v>0</v>
      </c>
      <c r="N11" s="37">
        <f>'Sch UM TSM Summary'!N11*Inputs!$C$12</f>
        <v>0</v>
      </c>
      <c r="O11" s="37">
        <f>'Sch UM TSM Summary'!O11*Inputs!$C$12</f>
        <v>0</v>
      </c>
      <c r="P11" s="38">
        <f>'Sch UM TSM Summary'!P11*Inputs!$C$12</f>
        <v>0</v>
      </c>
    </row>
    <row r="12" spans="1:16">
      <c r="A12" s="518"/>
      <c r="B12" s="431"/>
      <c r="C12" s="432"/>
      <c r="D12" s="432"/>
      <c r="E12" s="432"/>
      <c r="F12" s="433"/>
      <c r="G12" s="42"/>
      <c r="H12" s="86"/>
      <c r="I12" s="86"/>
      <c r="J12" s="86"/>
      <c r="K12" s="375"/>
      <c r="L12" s="42"/>
      <c r="M12" s="86"/>
      <c r="N12" s="86"/>
      <c r="O12" s="86"/>
      <c r="P12" s="375"/>
    </row>
    <row r="13" spans="1:16">
      <c r="A13" s="145" t="s">
        <v>35</v>
      </c>
      <c r="B13" s="143">
        <f>SUM(B9:B11)</f>
        <v>933.80035361194064</v>
      </c>
      <c r="C13" s="163">
        <f>SUM(C9:C11)</f>
        <v>1336.3618654593492</v>
      </c>
      <c r="D13" s="163">
        <f>SUM(D9:D11)</f>
        <v>3949.3307876991789</v>
      </c>
      <c r="E13" s="163">
        <f>SUM(E9:E11)</f>
        <v>33154.097794420828</v>
      </c>
      <c r="F13" s="49">
        <f>SUM(F9:F11)</f>
        <v>5041.1186407005243</v>
      </c>
      <c r="G13" s="142"/>
      <c r="H13" s="34"/>
      <c r="I13" s="34"/>
      <c r="J13" s="34"/>
      <c r="K13" s="44"/>
      <c r="L13" s="142">
        <f t="shared" ref="L13:P13" si="0">SUM(L9:L11)</f>
        <v>933.80035361194064</v>
      </c>
      <c r="M13" s="34">
        <f t="shared" si="0"/>
        <v>1336.3618654593492</v>
      </c>
      <c r="N13" s="34">
        <f t="shared" ref="N13:O13" si="1">SUM(N9:N11)</f>
        <v>3949.3307876991789</v>
      </c>
      <c r="O13" s="34">
        <f t="shared" si="1"/>
        <v>33154.097794420828</v>
      </c>
      <c r="P13" s="44">
        <f t="shared" si="0"/>
        <v>5041.1186407005243</v>
      </c>
    </row>
    <row r="14" spans="1:16">
      <c r="A14" s="518"/>
      <c r="B14" s="431"/>
      <c r="C14" s="432"/>
      <c r="D14" s="432"/>
      <c r="E14" s="432"/>
      <c r="F14" s="433"/>
      <c r="G14" s="42"/>
      <c r="H14" s="86"/>
      <c r="I14" s="86"/>
      <c r="J14" s="86"/>
      <c r="K14" s="375"/>
      <c r="L14" s="42"/>
      <c r="M14" s="86"/>
      <c r="N14" s="86"/>
      <c r="O14" s="86"/>
      <c r="P14" s="375"/>
    </row>
    <row r="15" spans="1:16">
      <c r="A15" s="145" t="s">
        <v>65</v>
      </c>
      <c r="B15" s="143"/>
      <c r="C15" s="163"/>
      <c r="D15" s="163"/>
      <c r="E15" s="163"/>
      <c r="F15" s="49"/>
      <c r="G15" s="142"/>
      <c r="H15" s="34"/>
      <c r="I15" s="34"/>
      <c r="J15" s="34"/>
      <c r="K15" s="44"/>
      <c r="L15" s="142"/>
      <c r="M15" s="34"/>
      <c r="N15" s="34"/>
      <c r="O15" s="34"/>
      <c r="P15" s="44"/>
    </row>
    <row r="16" spans="1:16">
      <c r="A16" s="519">
        <f>Inputs!C3</f>
        <v>2.7723662892949787E-2</v>
      </c>
      <c r="B16" s="143"/>
      <c r="C16" s="163"/>
      <c r="D16" s="163"/>
      <c r="E16" s="163"/>
      <c r="F16" s="49"/>
      <c r="G16" s="142"/>
      <c r="H16" s="34"/>
      <c r="I16" s="34"/>
      <c r="J16" s="34"/>
      <c r="K16" s="44"/>
      <c r="L16" s="142"/>
      <c r="M16" s="34"/>
      <c r="N16" s="34"/>
      <c r="O16" s="34"/>
      <c r="P16" s="44"/>
    </row>
    <row r="17" spans="1:16">
      <c r="A17" s="40" t="s">
        <v>64</v>
      </c>
      <c r="B17" s="143"/>
      <c r="C17" s="163"/>
      <c r="D17" s="163"/>
      <c r="E17" s="163"/>
      <c r="F17" s="49"/>
      <c r="G17" s="142"/>
      <c r="H17" s="34"/>
      <c r="I17" s="34"/>
      <c r="J17" s="34"/>
      <c r="K17" s="44"/>
      <c r="L17" s="142"/>
      <c r="M17" s="34"/>
      <c r="N17" s="34"/>
      <c r="O17" s="34"/>
      <c r="P17" s="44"/>
    </row>
    <row r="18" spans="1:16">
      <c r="A18" s="53">
        <f>Inputs!C4</f>
        <v>1.5023E-2</v>
      </c>
      <c r="B18" s="143"/>
      <c r="C18" s="163"/>
      <c r="D18" s="163"/>
      <c r="E18" s="163"/>
      <c r="F18" s="49"/>
      <c r="G18" s="142"/>
      <c r="H18" s="34"/>
      <c r="I18" s="34"/>
      <c r="J18" s="34"/>
      <c r="K18" s="44"/>
      <c r="L18" s="142"/>
      <c r="M18" s="34"/>
      <c r="N18" s="34"/>
      <c r="O18" s="34"/>
      <c r="P18" s="44"/>
    </row>
    <row r="19" spans="1:16">
      <c r="A19" s="519"/>
      <c r="B19" s="143"/>
      <c r="C19" s="163"/>
      <c r="D19" s="163"/>
      <c r="E19" s="163"/>
      <c r="F19" s="49"/>
      <c r="G19" s="142"/>
      <c r="H19" s="34"/>
      <c r="I19" s="34"/>
      <c r="J19" s="34"/>
      <c r="K19" s="44"/>
      <c r="L19" s="142"/>
      <c r="M19" s="34"/>
      <c r="N19" s="34"/>
      <c r="O19" s="34"/>
      <c r="P19" s="44"/>
    </row>
    <row r="20" spans="1:16">
      <c r="A20" s="520" t="s">
        <v>111</v>
      </c>
      <c r="B20" s="142">
        <f>(B9*(1+$A$16)*(1+$A$18))</f>
        <v>847.13492610333344</v>
      </c>
      <c r="C20" s="34">
        <f t="shared" ref="C20:F20" si="2">(C9*(1+$A$16)*(1+$A$18))</f>
        <v>1235.4051005673612</v>
      </c>
      <c r="D20" s="34">
        <f t="shared" si="2"/>
        <v>3795.3468220297118</v>
      </c>
      <c r="E20" s="34">
        <f t="shared" si="2"/>
        <v>22538.169837962319</v>
      </c>
      <c r="F20" s="34">
        <f t="shared" si="2"/>
        <v>3917.6583133830081</v>
      </c>
      <c r="G20" s="142"/>
      <c r="H20" s="34"/>
      <c r="I20" s="34"/>
      <c r="J20" s="34"/>
      <c r="K20" s="44"/>
      <c r="L20" s="142">
        <f>(L9*(1+$A$16)*(1+$A$18))</f>
        <v>847.13492610333344</v>
      </c>
      <c r="M20" s="34">
        <f t="shared" ref="M20:P20" si="3">(M9*(1+$A$16)*(1+$A$18))</f>
        <v>1235.4051005673612</v>
      </c>
      <c r="N20" s="34">
        <f t="shared" si="3"/>
        <v>3795.3468220297118</v>
      </c>
      <c r="O20" s="34">
        <f t="shared" si="3"/>
        <v>22538.169837962319</v>
      </c>
      <c r="P20" s="44">
        <f t="shared" si="3"/>
        <v>3917.6583133830081</v>
      </c>
    </row>
    <row r="21" spans="1:16">
      <c r="A21" s="520" t="s">
        <v>51</v>
      </c>
      <c r="B21" s="142">
        <f t="shared" ref="B21:F22" si="4">(B10*(1+$A$16)*(1+$A$18))</f>
        <v>126.97119735938993</v>
      </c>
      <c r="C21" s="34">
        <f t="shared" si="4"/>
        <v>158.63835986914205</v>
      </c>
      <c r="D21" s="34">
        <f t="shared" si="4"/>
        <v>324.44954450321023</v>
      </c>
      <c r="E21" s="34">
        <f t="shared" si="4"/>
        <v>12046.963434377796</v>
      </c>
      <c r="F21" s="34">
        <f t="shared" si="4"/>
        <v>1341.050915002176</v>
      </c>
      <c r="G21" s="142"/>
      <c r="H21" s="34"/>
      <c r="I21" s="34"/>
      <c r="J21" s="34"/>
      <c r="K21" s="44"/>
      <c r="L21" s="142">
        <f t="shared" ref="L21:P22" si="5">(L10*(1+$A$16)*(1+$A$18))</f>
        <v>126.97119735938993</v>
      </c>
      <c r="M21" s="34">
        <f t="shared" si="5"/>
        <v>158.63835986914205</v>
      </c>
      <c r="N21" s="34">
        <f t="shared" si="5"/>
        <v>324.44954450321023</v>
      </c>
      <c r="O21" s="34">
        <f t="shared" si="5"/>
        <v>12046.963434377796</v>
      </c>
      <c r="P21" s="44">
        <f t="shared" si="5"/>
        <v>1341.050915002176</v>
      </c>
    </row>
    <row r="22" spans="1:16">
      <c r="A22" s="520" t="s">
        <v>52</v>
      </c>
      <c r="B22" s="142">
        <f t="shared" si="4"/>
        <v>0</v>
      </c>
      <c r="C22" s="34">
        <f t="shared" si="4"/>
        <v>0</v>
      </c>
      <c r="D22" s="34">
        <f t="shared" si="4"/>
        <v>0</v>
      </c>
      <c r="E22" s="34">
        <f t="shared" si="4"/>
        <v>0</v>
      </c>
      <c r="F22" s="34">
        <f t="shared" si="4"/>
        <v>0</v>
      </c>
      <c r="G22" s="142"/>
      <c r="H22" s="34"/>
      <c r="I22" s="34"/>
      <c r="J22" s="34"/>
      <c r="K22" s="44"/>
      <c r="L22" s="142">
        <f t="shared" si="5"/>
        <v>0</v>
      </c>
      <c r="M22" s="34">
        <f t="shared" si="5"/>
        <v>0</v>
      </c>
      <c r="N22" s="34">
        <f t="shared" si="5"/>
        <v>0</v>
      </c>
      <c r="O22" s="34">
        <f t="shared" si="5"/>
        <v>0</v>
      </c>
      <c r="P22" s="44">
        <f t="shared" si="5"/>
        <v>0</v>
      </c>
    </row>
    <row r="23" spans="1:16">
      <c r="A23" s="520"/>
      <c r="B23" s="142"/>
      <c r="C23" s="163"/>
      <c r="D23" s="163"/>
      <c r="E23" s="163"/>
      <c r="F23" s="49"/>
      <c r="G23" s="142"/>
      <c r="H23" s="34"/>
      <c r="I23" s="34"/>
      <c r="J23" s="34"/>
      <c r="K23" s="44"/>
      <c r="L23" s="142"/>
      <c r="M23" s="34"/>
      <c r="N23" s="34"/>
      <c r="O23" s="34"/>
      <c r="P23" s="44"/>
    </row>
    <row r="24" spans="1:16">
      <c r="A24" s="145" t="s">
        <v>35</v>
      </c>
      <c r="B24" s="143">
        <f>B20+B21+B22</f>
        <v>974.10612346272342</v>
      </c>
      <c r="C24" s="163">
        <f>C20+C21+C22</f>
        <v>1394.0434604365032</v>
      </c>
      <c r="D24" s="163">
        <f>D20+D21+D22</f>
        <v>4119.7963665329216</v>
      </c>
      <c r="E24" s="163">
        <f>E20+E21+E22</f>
        <v>34585.133272340114</v>
      </c>
      <c r="F24" s="49">
        <f>F20+F21+F22</f>
        <v>5258.7092283851844</v>
      </c>
      <c r="G24" s="142"/>
      <c r="H24" s="34"/>
      <c r="I24" s="34"/>
      <c r="J24" s="34"/>
      <c r="K24" s="44"/>
      <c r="L24" s="142">
        <f t="shared" ref="L24:P24" si="6">SUM(L20:L22)</f>
        <v>974.10612346272342</v>
      </c>
      <c r="M24" s="34">
        <f t="shared" si="6"/>
        <v>1394.0434604365032</v>
      </c>
      <c r="N24" s="34">
        <f t="shared" ref="N24:O24" si="7">SUM(N20:N22)</f>
        <v>4119.7963665329216</v>
      </c>
      <c r="O24" s="34">
        <f t="shared" si="7"/>
        <v>34585.133272340114</v>
      </c>
      <c r="P24" s="44">
        <f t="shared" si="6"/>
        <v>5258.7092283851844</v>
      </c>
    </row>
    <row r="25" spans="1:16">
      <c r="A25" s="518"/>
      <c r="B25" s="431"/>
      <c r="C25" s="432"/>
      <c r="D25" s="432"/>
      <c r="E25" s="432"/>
      <c r="F25" s="433"/>
      <c r="G25" s="142"/>
      <c r="H25" s="34"/>
      <c r="I25" s="34"/>
      <c r="J25" s="34"/>
      <c r="K25" s="44"/>
      <c r="L25" s="142"/>
      <c r="M25" s="34"/>
      <c r="N25" s="34"/>
      <c r="O25" s="34"/>
      <c r="P25" s="44"/>
    </row>
    <row r="26" spans="1:16">
      <c r="A26" s="806" t="str">
        <f>'Resid TSM Sum by Rate Schedule'!A25</f>
        <v>Annualized Transformer Cost at 8.05%</v>
      </c>
      <c r="B26" s="147">
        <f>B20*Inputs!$C$5</f>
        <v>68.176285838236737</v>
      </c>
      <c r="C26" s="97">
        <f>C20*Inputs!$C$5</f>
        <v>99.4237501807619</v>
      </c>
      <c r="D26" s="97">
        <f>D20*Inputs!$C$5</f>
        <v>305.44443608783331</v>
      </c>
      <c r="E26" s="97">
        <f>E20*Inputs!$C$5</f>
        <v>1813.8417645127456</v>
      </c>
      <c r="F26" s="99">
        <f>F20*Inputs!$C$5</f>
        <v>315.28790132442799</v>
      </c>
      <c r="G26" s="147"/>
      <c r="H26" s="97"/>
      <c r="I26" s="97"/>
      <c r="J26" s="97"/>
      <c r="K26" s="99"/>
      <c r="L26" s="147">
        <f>L20*Inputs!$C$5</f>
        <v>68.176285838236737</v>
      </c>
      <c r="M26" s="97">
        <f>M20*Inputs!$C$5</f>
        <v>99.4237501807619</v>
      </c>
      <c r="N26" s="97">
        <f>N20*Inputs!$C$5</f>
        <v>305.44443608783331</v>
      </c>
      <c r="O26" s="97">
        <f>O20*Inputs!$C$5</f>
        <v>1813.8417645127456</v>
      </c>
      <c r="P26" s="99">
        <f>P20*Inputs!$C$5</f>
        <v>315.28790132442799</v>
      </c>
    </row>
    <row r="27" spans="1:16">
      <c r="A27" s="806" t="str">
        <f>'Resid TSM Sum by Rate Schedule'!A26</f>
        <v>Annualized Services Cost at 7.08%</v>
      </c>
      <c r="B27" s="147">
        <f>B21*Inputs!$C$6</f>
        <v>8.9863941039846438</v>
      </c>
      <c r="C27" s="97">
        <f>C21*Inputs!$C$6</f>
        <v>11.227639428797003</v>
      </c>
      <c r="D27" s="97">
        <f>D21*Inputs!$C$6</f>
        <v>22.962935960283211</v>
      </c>
      <c r="E27" s="97">
        <f>E21*Inputs!$C$6</f>
        <v>852.62455918397416</v>
      </c>
      <c r="F27" s="99">
        <f>F21*Inputs!$C$6</f>
        <v>94.912958894197118</v>
      </c>
      <c r="G27" s="147"/>
      <c r="H27" s="97"/>
      <c r="I27" s="97"/>
      <c r="J27" s="97"/>
      <c r="K27" s="99"/>
      <c r="L27" s="147">
        <f>L21*Inputs!$C$6</f>
        <v>8.9863941039846438</v>
      </c>
      <c r="M27" s="97">
        <f>M21*Inputs!$C$6</f>
        <v>11.227639428797003</v>
      </c>
      <c r="N27" s="97">
        <f>N21*Inputs!$C$6</f>
        <v>22.962935960283211</v>
      </c>
      <c r="O27" s="97">
        <f>O21*Inputs!$C$6</f>
        <v>852.62455918397416</v>
      </c>
      <c r="P27" s="99">
        <f>P21*Inputs!$C$6</f>
        <v>94.912958894197118</v>
      </c>
    </row>
    <row r="28" spans="1:16" ht="15">
      <c r="A28" s="806" t="str">
        <f>'Resid TSM Sum by Rate Schedule'!A27</f>
        <v>Annualized Meter Cost at 10.78%</v>
      </c>
      <c r="B28" s="628">
        <f>B22*Inputs!$C$7</f>
        <v>0</v>
      </c>
      <c r="C28" s="627">
        <f>C22*Inputs!$C$7</f>
        <v>0</v>
      </c>
      <c r="D28" s="627">
        <f>D22*Inputs!$C$7</f>
        <v>0</v>
      </c>
      <c r="E28" s="627">
        <f>E22*Inputs!$C$7</f>
        <v>0</v>
      </c>
      <c r="F28" s="626">
        <f>F22*Inputs!$C$7</f>
        <v>0</v>
      </c>
      <c r="G28" s="628"/>
      <c r="H28" s="627"/>
      <c r="I28" s="627"/>
      <c r="J28" s="627"/>
      <c r="K28" s="626"/>
      <c r="L28" s="628">
        <f>L22*Inputs!$C$7</f>
        <v>0</v>
      </c>
      <c r="M28" s="627">
        <f>M22*Inputs!$C$7</f>
        <v>0</v>
      </c>
      <c r="N28" s="627">
        <f>N22*Inputs!$C$7</f>
        <v>0</v>
      </c>
      <c r="O28" s="627">
        <f>O22*Inputs!$C$7</f>
        <v>0</v>
      </c>
      <c r="P28" s="626">
        <f>P22*Inputs!$C$7</f>
        <v>0</v>
      </c>
    </row>
    <row r="29" spans="1:16">
      <c r="A29" s="621" t="s">
        <v>380</v>
      </c>
      <c r="B29" s="147">
        <f>SUM(B26:B28)</f>
        <v>77.162679942221388</v>
      </c>
      <c r="C29" s="97">
        <f>SUM(C26:C28)</f>
        <v>110.6513896095589</v>
      </c>
      <c r="D29" s="97">
        <f>SUM(D26:D28)</f>
        <v>328.40737204811654</v>
      </c>
      <c r="E29" s="97">
        <f>SUM(E26:E28)</f>
        <v>2666.4663236967199</v>
      </c>
      <c r="F29" s="99">
        <f>SUM(F26:F28)</f>
        <v>410.20086021862511</v>
      </c>
      <c r="G29" s="147"/>
      <c r="H29" s="97"/>
      <c r="I29" s="97"/>
      <c r="J29" s="97"/>
      <c r="K29" s="99"/>
      <c r="L29" s="147">
        <f t="shared" ref="L29:P29" si="8">SUM(L26:L28)</f>
        <v>77.162679942221388</v>
      </c>
      <c r="M29" s="97">
        <f t="shared" si="8"/>
        <v>110.6513896095589</v>
      </c>
      <c r="N29" s="97">
        <f t="shared" ref="N29:O29" si="9">SUM(N26:N28)</f>
        <v>328.40737204811654</v>
      </c>
      <c r="O29" s="97">
        <f t="shared" si="9"/>
        <v>2666.4663236967199</v>
      </c>
      <c r="P29" s="99">
        <f t="shared" si="8"/>
        <v>410.20086021862511</v>
      </c>
    </row>
    <row r="30" spans="1:16">
      <c r="A30" s="519"/>
      <c r="B30" s="178"/>
      <c r="C30" s="88"/>
      <c r="D30" s="88"/>
      <c r="E30" s="88"/>
      <c r="F30" s="374"/>
      <c r="G30" s="53"/>
      <c r="H30" s="87"/>
      <c r="I30" s="87"/>
      <c r="J30" s="87"/>
      <c r="K30" s="376"/>
      <c r="L30" s="53"/>
      <c r="M30" s="87"/>
      <c r="N30" s="87"/>
      <c r="O30" s="87"/>
      <c r="P30" s="376"/>
    </row>
    <row r="31" spans="1:16">
      <c r="A31" s="40" t="s">
        <v>50</v>
      </c>
      <c r="B31" s="178">
        <f>'Sch UM TSM Summary'!B$31*Inputs!$C$13</f>
        <v>50.18672445056427</v>
      </c>
      <c r="C31" s="88">
        <f>'Sch UM TSM Summary'!C$31*Inputs!$C$13</f>
        <v>50.18672445056427</v>
      </c>
      <c r="D31" s="88">
        <f>'Sch UM TSM Summary'!D$31*Inputs!$C$13</f>
        <v>50.18672445056427</v>
      </c>
      <c r="E31" s="88">
        <f>'Sch UM TSM Summary'!E$31*Inputs!$C$13</f>
        <v>50.18672445056427</v>
      </c>
      <c r="F31" s="374">
        <f>'Sch UM TSM Summary'!F$31*Inputs!$C$13</f>
        <v>50.18672445056427</v>
      </c>
      <c r="G31" s="178"/>
      <c r="H31" s="88"/>
      <c r="I31" s="88"/>
      <c r="J31" s="88"/>
      <c r="K31" s="374"/>
      <c r="L31" s="178">
        <f>'Sch UM TSM Summary'!L$31*Inputs!$C$13</f>
        <v>50.18672445056427</v>
      </c>
      <c r="M31" s="88">
        <f>'Sch UM TSM Summary'!M$31*Inputs!$C$13</f>
        <v>50.18672445056427</v>
      </c>
      <c r="N31" s="88">
        <f>'Sch UM TSM Summary'!N$31*Inputs!$C$13</f>
        <v>50.18672445056427</v>
      </c>
      <c r="O31" s="88">
        <f>'Sch UM TSM Summary'!O$31*Inputs!$C$13</f>
        <v>50.18672445056427</v>
      </c>
      <c r="P31" s="374">
        <f>'Sch UM TSM Summary'!P$31*Inputs!$C$13</f>
        <v>50.18672445056427</v>
      </c>
    </row>
    <row r="32" spans="1:16" ht="15">
      <c r="A32" s="40" t="s">
        <v>453</v>
      </c>
      <c r="B32" s="730">
        <f>-Inputs!$C$18</f>
        <v>-3.0284021924274875</v>
      </c>
      <c r="C32" s="729">
        <f>-Inputs!$C$18</f>
        <v>-3.0284021924274875</v>
      </c>
      <c r="D32" s="729">
        <f>-Inputs!$C$18</f>
        <v>-3.0284021924274875</v>
      </c>
      <c r="E32" s="729">
        <f>-Inputs!$C$18</f>
        <v>-3.0284021924274875</v>
      </c>
      <c r="F32" s="731">
        <f>-Inputs!$C$18</f>
        <v>-3.0284021924274875</v>
      </c>
      <c r="G32" s="730"/>
      <c r="H32" s="729"/>
      <c r="I32" s="729"/>
      <c r="J32" s="729"/>
      <c r="K32" s="731"/>
      <c r="L32" s="730">
        <f>-Inputs!$C$18</f>
        <v>-3.0284021924274875</v>
      </c>
      <c r="M32" s="729">
        <f>-Inputs!$C$18</f>
        <v>-3.0284021924274875</v>
      </c>
      <c r="N32" s="729">
        <f>-Inputs!$C$18</f>
        <v>-3.0284021924274875</v>
      </c>
      <c r="O32" s="729">
        <f>-Inputs!$C$18</f>
        <v>-3.0284021924274875</v>
      </c>
      <c r="P32" s="731">
        <f>-Inputs!$C$18</f>
        <v>-3.0284021924274875</v>
      </c>
    </row>
    <row r="33" spans="1:16">
      <c r="A33" s="40" t="s">
        <v>451</v>
      </c>
      <c r="B33" s="178">
        <f>B31+B32</f>
        <v>47.158322258136785</v>
      </c>
      <c r="C33" s="88">
        <f>C31+C32</f>
        <v>47.158322258136785</v>
      </c>
      <c r="D33" s="88">
        <f t="shared" ref="D33:F33" si="10">D31+D32</f>
        <v>47.158322258136785</v>
      </c>
      <c r="E33" s="88">
        <f t="shared" si="10"/>
        <v>47.158322258136785</v>
      </c>
      <c r="F33" s="88">
        <f t="shared" si="10"/>
        <v>47.158322258136785</v>
      </c>
      <c r="G33" s="178"/>
      <c r="H33" s="88"/>
      <c r="I33" s="88"/>
      <c r="J33" s="88"/>
      <c r="K33" s="374"/>
      <c r="L33" s="178">
        <f>L31+L32</f>
        <v>47.158322258136785</v>
      </c>
      <c r="M33" s="88">
        <f>M31+M32</f>
        <v>47.158322258136785</v>
      </c>
      <c r="N33" s="88">
        <f t="shared" ref="N33" si="11">N31+N32</f>
        <v>47.158322258136785</v>
      </c>
      <c r="O33" s="88">
        <f t="shared" ref="O33" si="12">O31+O32</f>
        <v>47.158322258136785</v>
      </c>
      <c r="P33" s="374">
        <f t="shared" ref="P33" si="13">P31+P32</f>
        <v>47.158322258136785</v>
      </c>
    </row>
    <row r="34" spans="1:16">
      <c r="A34" s="146"/>
      <c r="B34" s="239"/>
      <c r="C34" s="434"/>
      <c r="D34" s="434"/>
      <c r="E34" s="434"/>
      <c r="F34" s="435"/>
      <c r="G34" s="11"/>
      <c r="H34" s="12"/>
      <c r="I34" s="12"/>
      <c r="J34" s="12"/>
      <c r="K34" s="101"/>
      <c r="L34" s="178"/>
      <c r="M34" s="88"/>
      <c r="N34" s="88"/>
      <c r="O34" s="88"/>
      <c r="P34" s="374"/>
    </row>
    <row r="35" spans="1:16">
      <c r="A35" s="145" t="s">
        <v>61</v>
      </c>
      <c r="B35" s="380">
        <f>'Sch UM TSM Summary'!B33*Inputs!$C$14</f>
        <v>38.96558012687116</v>
      </c>
      <c r="C35" s="109">
        <f>'Sch UM TSM Summary'!C33*Inputs!$C$14</f>
        <v>38.96558012687116</v>
      </c>
      <c r="D35" s="109">
        <f>'Sch UM TSM Summary'!D33*Inputs!$C$14</f>
        <v>38.96558012687116</v>
      </c>
      <c r="E35" s="109">
        <f>'Sch UM TSM Summary'!E33*Inputs!$C$14</f>
        <v>38.96558012687116</v>
      </c>
      <c r="F35" s="381">
        <f>'Sch UM TSM Summary'!F33*Inputs!$C$14</f>
        <v>38.96558012687116</v>
      </c>
      <c r="G35" s="380"/>
      <c r="H35" s="109"/>
      <c r="I35" s="109"/>
      <c r="J35" s="109"/>
      <c r="K35" s="381"/>
      <c r="L35" s="178">
        <f>'Sch UM TSM Summary'!L33*Inputs!$C$14</f>
        <v>38.96558012687116</v>
      </c>
      <c r="M35" s="88">
        <f>'Sch UM TSM Summary'!M33*Inputs!$C$14</f>
        <v>38.96558012687116</v>
      </c>
      <c r="N35" s="88">
        <f>'Sch UM TSM Summary'!N33*Inputs!$C$14</f>
        <v>38.96558012687116</v>
      </c>
      <c r="O35" s="88">
        <f>'Sch UM TSM Summary'!O33*Inputs!$C$14</f>
        <v>38.96558012687116</v>
      </c>
      <c r="P35" s="374">
        <f>'Sch UM TSM Summary'!P33*Inputs!$C$14</f>
        <v>38.96558012687116</v>
      </c>
    </row>
    <row r="36" spans="1:16">
      <c r="A36" s="146"/>
      <c r="B36" s="239"/>
      <c r="C36" s="434"/>
      <c r="D36" s="434"/>
      <c r="E36" s="434"/>
      <c r="F36" s="435"/>
      <c r="G36" s="11"/>
      <c r="H36" s="12"/>
      <c r="I36" s="12"/>
      <c r="J36" s="12"/>
      <c r="K36" s="101"/>
      <c r="L36" s="11"/>
      <c r="M36" s="12"/>
      <c r="N36" s="12"/>
      <c r="O36" s="12"/>
      <c r="P36" s="101"/>
    </row>
    <row r="37" spans="1:16" ht="13.5" thickBot="1">
      <c r="A37" s="622" t="s">
        <v>98</v>
      </c>
      <c r="B37" s="377">
        <f>B29+B33+B35</f>
        <v>163.28658232722933</v>
      </c>
      <c r="C37" s="378">
        <f>C29+C33+C35</f>
        <v>196.77529199456683</v>
      </c>
      <c r="D37" s="378">
        <f>D29+D33+D35</f>
        <v>414.53127443312445</v>
      </c>
      <c r="E37" s="378">
        <f>E29+E33+E35</f>
        <v>2752.5902260817279</v>
      </c>
      <c r="F37" s="379">
        <f>F29+F33+F35</f>
        <v>496.32476260363302</v>
      </c>
      <c r="G37" s="377"/>
      <c r="H37" s="378"/>
      <c r="I37" s="378"/>
      <c r="J37" s="378"/>
      <c r="K37" s="379"/>
      <c r="L37" s="377">
        <f t="shared" ref="L37:P37" si="14">L29+L33+L35</f>
        <v>163.28658232722933</v>
      </c>
      <c r="M37" s="378">
        <f t="shared" si="14"/>
        <v>196.77529199456683</v>
      </c>
      <c r="N37" s="378">
        <f t="shared" ref="N37:O37" si="15">N29+N33+N35</f>
        <v>414.53127443312445</v>
      </c>
      <c r="O37" s="378">
        <f t="shared" si="15"/>
        <v>2752.5902260817279</v>
      </c>
      <c r="P37" s="379">
        <f t="shared" si="14"/>
        <v>496.32476260363302</v>
      </c>
    </row>
    <row r="38" spans="1:16">
      <c r="A38" s="113"/>
      <c r="B38" s="113"/>
      <c r="C38" s="113"/>
      <c r="D38" s="113"/>
      <c r="E38" s="113"/>
      <c r="F38" s="113"/>
    </row>
    <row r="41" spans="1:16">
      <c r="A41" t="s">
        <v>3</v>
      </c>
    </row>
    <row r="49" spans="1:6">
      <c r="A49" s="19"/>
      <c r="B49" s="19"/>
      <c r="C49" s="19"/>
      <c r="D49" s="19"/>
      <c r="E49" s="19"/>
      <c r="F49" s="19"/>
    </row>
    <row r="61" spans="1:6">
      <c r="A61" s="19"/>
      <c r="B61" s="19"/>
      <c r="C61" s="19"/>
      <c r="D61" s="19"/>
      <c r="E61" s="19"/>
      <c r="F61" s="19"/>
    </row>
  </sheetData>
  <mergeCells count="5">
    <mergeCell ref="A1:F1"/>
    <mergeCell ref="B3:F3"/>
    <mergeCell ref="G3:K3"/>
    <mergeCell ref="L3:P3"/>
    <mergeCell ref="B2:P2"/>
  </mergeCells>
  <printOptions horizontalCentered="1"/>
  <pageMargins left="0.75" right="0.75" top="1" bottom="1" header="0.5" footer="0.5"/>
  <pageSetup scale="94" orientation="portrait" r:id="rId1"/>
  <headerFooter alignWithMargins="0">
    <oddFooter>&amp;L&amp;F
&amp;A&amp;R&amp;P of &amp;N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Sheet70">
    <tabColor rgb="FFFFC000"/>
  </sheetPr>
  <dimension ref="A1:Q56"/>
  <sheetViews>
    <sheetView zoomScaleNormal="100" workbookViewId="0">
      <selection activeCell="J9" sqref="J9"/>
    </sheetView>
  </sheetViews>
  <sheetFormatPr defaultRowHeight="12.75"/>
  <cols>
    <col min="1" max="1" width="40.7109375" customWidth="1"/>
    <col min="2" max="2" width="10.28515625" style="12" customWidth="1"/>
    <col min="3" max="3" width="17.140625" style="12" bestFit="1" customWidth="1"/>
    <col min="4" max="4" width="8.85546875" style="12" bestFit="1" customWidth="1"/>
    <col min="5" max="5" width="14.140625" style="12" bestFit="1" customWidth="1"/>
    <col min="6" max="6" width="14" style="12" bestFit="1" customWidth="1"/>
    <col min="7" max="7" width="17.140625" style="12" bestFit="1" customWidth="1"/>
    <col min="8" max="8" width="14.85546875" style="12" bestFit="1" customWidth="1"/>
    <col min="9" max="9" width="14" style="12" bestFit="1" customWidth="1"/>
    <col min="10" max="10" width="15.42578125" style="12" bestFit="1" customWidth="1"/>
    <col min="11" max="11" width="17.140625" style="12" bestFit="1" customWidth="1"/>
    <col min="12" max="12" width="16.28515625" style="12" bestFit="1" customWidth="1"/>
    <col min="13" max="13" width="14.85546875" style="12" bestFit="1" customWidth="1"/>
    <col min="14" max="14" width="14.42578125" bestFit="1" customWidth="1"/>
    <col min="15" max="15" width="17.140625" bestFit="1" customWidth="1"/>
    <col min="16" max="16" width="16.28515625" bestFit="1" customWidth="1"/>
    <col min="17" max="17" width="14.42578125" bestFit="1" customWidth="1"/>
  </cols>
  <sheetData>
    <row r="1" spans="1:17" ht="18.75" thickBot="1">
      <c r="A1" s="826" t="s">
        <v>245</v>
      </c>
      <c r="B1" s="826"/>
      <c r="C1" s="826"/>
      <c r="D1" s="826"/>
      <c r="E1" s="826"/>
      <c r="F1" s="826"/>
      <c r="G1" s="826"/>
      <c r="H1" s="826"/>
      <c r="I1" s="826"/>
      <c r="J1" s="826"/>
      <c r="K1" s="826"/>
      <c r="L1" s="826"/>
      <c r="M1" s="826"/>
      <c r="N1" s="845"/>
      <c r="O1" s="845"/>
      <c r="P1" s="845"/>
      <c r="Q1" s="845"/>
    </row>
    <row r="2" spans="1:17" ht="13.5" thickBot="1">
      <c r="A2" s="131"/>
      <c r="B2" s="836" t="s">
        <v>0</v>
      </c>
      <c r="C2" s="830"/>
      <c r="D2" s="830"/>
      <c r="E2" s="831"/>
      <c r="F2" s="827" t="s">
        <v>1</v>
      </c>
      <c r="G2" s="828"/>
      <c r="H2" s="828"/>
      <c r="I2" s="829"/>
      <c r="J2" s="827" t="s">
        <v>99</v>
      </c>
      <c r="K2" s="828"/>
      <c r="L2" s="828"/>
      <c r="M2" s="829"/>
      <c r="N2" s="827" t="s">
        <v>246</v>
      </c>
      <c r="O2" s="828"/>
      <c r="P2" s="828"/>
      <c r="Q2" s="829"/>
    </row>
    <row r="3" spans="1:17" ht="13.5" thickBot="1">
      <c r="A3" s="102" t="s">
        <v>47</v>
      </c>
      <c r="B3" s="402" t="s">
        <v>189</v>
      </c>
      <c r="C3" s="403" t="s">
        <v>139</v>
      </c>
      <c r="D3" s="403" t="s">
        <v>100</v>
      </c>
      <c r="E3" s="613" t="s">
        <v>2</v>
      </c>
      <c r="F3" s="402" t="s">
        <v>189</v>
      </c>
      <c r="G3" s="403" t="s">
        <v>139</v>
      </c>
      <c r="H3" s="403" t="s">
        <v>100</v>
      </c>
      <c r="I3" s="613" t="s">
        <v>2</v>
      </c>
      <c r="J3" s="402" t="s">
        <v>189</v>
      </c>
      <c r="K3" s="403" t="s">
        <v>139</v>
      </c>
      <c r="L3" s="403" t="s">
        <v>100</v>
      </c>
      <c r="M3" s="613" t="s">
        <v>2</v>
      </c>
      <c r="N3" s="402" t="s">
        <v>189</v>
      </c>
      <c r="O3" s="403" t="s">
        <v>139</v>
      </c>
      <c r="P3" s="403" t="s">
        <v>100</v>
      </c>
      <c r="Q3" s="613" t="s">
        <v>2</v>
      </c>
    </row>
    <row r="4" spans="1:17">
      <c r="A4" s="516"/>
      <c r="B4" s="5"/>
      <c r="C4" s="6"/>
      <c r="D4" s="6"/>
      <c r="E4" s="7"/>
      <c r="F4" s="5"/>
      <c r="G4" s="6"/>
      <c r="H4" s="6"/>
      <c r="I4" s="7"/>
      <c r="J4" s="5"/>
      <c r="K4" s="6"/>
      <c r="L4" s="6"/>
      <c r="M4" s="7"/>
      <c r="N4" s="5"/>
      <c r="O4" s="6"/>
      <c r="P4" s="6"/>
      <c r="Q4" s="7"/>
    </row>
    <row r="5" spans="1:17">
      <c r="A5" s="145"/>
      <c r="B5" s="132"/>
      <c r="C5" s="8"/>
      <c r="D5" s="8"/>
      <c r="E5" s="9"/>
      <c r="F5" s="132"/>
      <c r="G5" s="8"/>
      <c r="H5" s="8"/>
      <c r="I5" s="9"/>
      <c r="J5" s="132"/>
      <c r="K5" s="8"/>
      <c r="L5" s="8"/>
      <c r="M5" s="9"/>
      <c r="N5" s="132"/>
      <c r="O5" s="8"/>
      <c r="P5" s="8"/>
      <c r="Q5" s="9"/>
    </row>
    <row r="6" spans="1:17">
      <c r="A6" s="145" t="s">
        <v>49</v>
      </c>
      <c r="B6" s="142"/>
      <c r="C6" s="34"/>
      <c r="D6" s="34"/>
      <c r="E6" s="44"/>
      <c r="F6" s="142"/>
      <c r="G6" s="34"/>
      <c r="H6" s="34"/>
      <c r="I6" s="44"/>
      <c r="J6" s="142"/>
      <c r="K6" s="34"/>
      <c r="L6" s="34"/>
      <c r="M6" s="44"/>
      <c r="N6" s="142"/>
      <c r="O6" s="34"/>
      <c r="P6" s="34"/>
      <c r="Q6" s="44"/>
    </row>
    <row r="7" spans="1:17">
      <c r="A7" s="517"/>
      <c r="B7" s="142"/>
      <c r="C7" s="34"/>
      <c r="D7" s="34"/>
      <c r="E7" s="44"/>
      <c r="F7" s="142"/>
      <c r="G7" s="34"/>
      <c r="H7" s="34"/>
      <c r="I7" s="44"/>
      <c r="J7" s="142"/>
      <c r="K7" s="34"/>
      <c r="L7" s="34"/>
      <c r="M7" s="44"/>
      <c r="N7" s="142"/>
      <c r="O7" s="34"/>
      <c r="P7" s="34"/>
      <c r="Q7" s="44"/>
    </row>
    <row r="8" spans="1:17">
      <c r="A8" s="145" t="s">
        <v>53</v>
      </c>
      <c r="B8" s="143">
        <f>('Sch OL-TOU TSM Summary'!B8*'Sch OL-TOU Cust Fcst'!$F$39+'Sch AL-TOU TSM Summary'!B8*'Sch AL-TOU Cust Fcst'!$F$39+'Sch DG-R TSM Summary'!B8*'Sch DG-R Cust Fcst'!$F$39)/('Sch OL-TOU Cust Fcst'!$F$39+'Sch AL-TOU Cust Fcst'!$F$39+'Sch DG-R Cust Fcst'!$F$39)</f>
        <v>11189.065930538705</v>
      </c>
      <c r="C8" s="163">
        <f>('Sch OL-TOU TSM Summary'!E8*'Sch OL-TOU Cust Fcst'!$F$40+'Sch AL-TOU TSM Summary'!C8*'Sch AL-TOU Cust Fcst'!$F$40+'Sch DG-R TSM Summary'!C8*'Sch DG-R Cust Fcst'!$F$40)/('Sch OL-TOU Cust Fcst'!$F$40+'Sch AL-TOU Cust Fcst'!$F$40+'Sch DG-R Cust Fcst'!$F$40)</f>
        <v>32024.225947553081</v>
      </c>
      <c r="D8" s="163"/>
      <c r="E8" s="49">
        <f>('Sch OL-TOU TSM Summary'!E8*'Sch OL-TOU Cust Fcst'!$F$38+'Sch AL-TOU TSM Summary'!E8*'Sch AL-TOU Cust Fcst'!$F$38+'Sch DG-R TSM Summary'!E8*'Sch DG-R Cust Fcst'!$F$38)/('Sch OL-TOU Cust Fcst'!$F$38+'Sch AL-TOU Cust Fcst'!$F$38+'Sch DG-R Cust Fcst'!$F$38)</f>
        <v>11756.880763705662</v>
      </c>
      <c r="F8" s="143">
        <f>('Sch AL-TOU TSM Summary'!F8*'Sch AL-TOU Cust Fcst'!$G$39+'Sch DG-R TSM Summary'!F8*'Sch DG-R Cust Fcst'!$G$39+'Sch A6-TOU TSM Summary'!B8*'Sch A6-TOU Cust Fcst '!$B$39)/('Sch AL-TOU Cust Fcst'!$G$39+'Sch DG-R Cust Fcst'!$G$39+'Sch A6-TOU Cust Fcst '!$B$39)</f>
        <v>0</v>
      </c>
      <c r="G8" s="163">
        <f>('Sch AL-TOU TSM Summary'!G8*'Sch AL-TOU Cust Fcst'!$G$40+'Sch DG-R TSM Summary'!G8*'Sch DG-R Cust Fcst'!$G$40+'Sch A6-TOU TSM Summary'!C8*'Sch A6-TOU Cust Fcst '!$B$40)/('Sch AL-TOU Cust Fcst'!$G$40+'Sch DG-R Cust Fcst'!$G$40+'Sch A6-TOU Cust Fcst '!$B$40)</f>
        <v>0</v>
      </c>
      <c r="H8" s="163">
        <f>('Sch AL-TOU TSM Summary'!H8*'Sch AL-TOU Cust Fcst'!$G$41+'Sch DG-R TSM Summary'!H8*'Sch DG-R Cust Fcst'!$G$41+'Sch A6-TOU TSM Summary'!D8*'Sch A6-TOU Cust Fcst '!$B$41)/('Sch AL-TOU Cust Fcst'!$G$41+'Sch DG-R Cust Fcst'!$G$41+'Sch A6-TOU Cust Fcst '!$B$41)</f>
        <v>0</v>
      </c>
      <c r="I8" s="49">
        <f>('Sch AL-TOU TSM Summary'!I8*'Sch AL-TOU Cust Fcst'!$G$38+'Sch DG-R TSM Summary'!I8*'Sch DG-R Cust Fcst'!$G$38+'Sch A6-TOU TSM Summary'!E8*'Sch A6-TOU Cust Fcst '!$B$38)/('Sch AL-TOU Cust Fcst'!$G$38+'Sch DG-R Cust Fcst'!$G$38+'Sch A6-TOU Cust Fcst '!$B$38)</f>
        <v>0</v>
      </c>
      <c r="J8" s="143">
        <f>('Sch AL-TOU TSM Summary'!J8*'Sch AL-TOU Cust Fcst'!$H$39+'Sch A6-TOU TSM Summary'!F8*'Sch A6-TOU Cust Fcst '!$C$39)/('Sch AL-TOU Cust Fcst'!$H$39+'Sch A6-TOU Cust Fcst '!$C$39)</f>
        <v>0</v>
      </c>
      <c r="K8" s="163">
        <f>('Sch AL-TOU TSM Summary'!K8*'Sch AL-TOU Cust Fcst'!$H$40+'Sch A6-TOU TSM Summary'!G8*'Sch A6-TOU Cust Fcst '!$C$40)/('Sch AL-TOU Cust Fcst'!$H$40+'Sch A6-TOU Cust Fcst '!$C$40)</f>
        <v>0</v>
      </c>
      <c r="L8" s="163">
        <f>('Sch AL-TOU TSM Summary'!L8*'Sch AL-TOU Cust Fcst'!$H$41+'Sch A6-TOU TSM Summary'!H8*'Sch A6-TOU Cust Fcst '!$C$41)/('Sch AL-TOU Cust Fcst'!$H$41+'Sch A6-TOU Cust Fcst '!$C$41)</f>
        <v>0</v>
      </c>
      <c r="M8" s="49">
        <f>('Sch AL-TOU TSM Summary'!M8*'Sch AL-TOU Cust Fcst'!$H$38+'Sch A6-TOU TSM Summary'!I8*'Sch A6-TOU Cust Fcst '!$C$38)/('Sch AL-TOU Cust Fcst'!$H$38+'Sch A6-TOU Cust Fcst '!$C$38)</f>
        <v>0</v>
      </c>
      <c r="N8" s="143">
        <f>('Sch OL-TOU TSM Summary'!B8*'Sch OL-TOU Cust Fcst'!$H$39+'Sch AL-TOU TSM Summary'!N8*'Sch AL-TOU Cust Fcst'!$I$39+'Sch DG-R TSM Summary'!J8*'Sch DG-R Cust Fcst'!$H$39+'Sch A6-TOU TSM Summary'!J8*'Sch A6-TOU Cust Fcst '!$D$39)/('Sch OL-TOU Cust Fcst'!$H$39+'Sch AL-TOU Cust Fcst'!$I$39+'Sch DG-R Cust Fcst'!$H$39+'Sch A6-TOU Cust Fcst '!$D$39)</f>
        <v>11081.719804819169</v>
      </c>
      <c r="O8" s="163">
        <f>('Sch OL-TOU TSM Summary'!C8*'Sch OL-TOU Cust Fcst'!$H$40+'Sch AL-TOU TSM Summary'!O8*'Sch AL-TOU Cust Fcst'!$I$40+'Sch DG-R TSM Summary'!K8*'Sch DG-R Cust Fcst'!$H$40+'Sch A6-TOU TSM Summary'!K8*'Sch A6-TOU Cust Fcst '!$D$40)/('Sch OL-TOU Cust Fcst'!$H$40+'Sch AL-TOU Cust Fcst'!$I$40+'Sch DG-R Cust Fcst'!$H$40+'Sch A6-TOU Cust Fcst '!$D$40)</f>
        <v>22096.715903811626</v>
      </c>
      <c r="P8" s="163">
        <f>('Sch OL-TOU TSM Summary'!D8*'Sch OL-TOU Cust Fcst'!$H$41+'Sch AL-TOU TSM Summary'!P8*'Sch AL-TOU Cust Fcst'!$I$41+'Sch DG-R TSM Summary'!L8*'Sch DG-R Cust Fcst'!$H$41+'Sch A6-TOU TSM Summary'!L8*'Sch A6-TOU Cust Fcst '!$D$41)/('Sch OL-TOU Cust Fcst'!$H$41+'Sch AL-TOU Cust Fcst'!$I$41+'Sch DG-R Cust Fcst'!$H$41+'Sch A6-TOU Cust Fcst '!$D$41)</f>
        <v>0</v>
      </c>
      <c r="Q8" s="49">
        <f>('Sch OL-TOU TSM Summary'!E8*'Sch OL-TOU Cust Fcst'!$H$38+'Sch AL-TOU TSM Summary'!Q8*'Sch AL-TOU Cust Fcst'!$I$38+'Sch DG-R TSM Summary'!M8*'Sch DG-R Cust Fcst'!$H$38+'Sch A6-TOU TSM Summary'!M8*'Sch A6-TOU Cust Fcst '!$D$38)/('Sch OL-TOU Cust Fcst'!$H$38+'Sch AL-TOU Cust Fcst'!$I$38+'Sch DG-R Cust Fcst'!$H$38+'Sch A6-TOU Cust Fcst '!$D$38)</f>
        <v>11503.102449771197</v>
      </c>
    </row>
    <row r="9" spans="1:17">
      <c r="A9" s="145" t="s">
        <v>51</v>
      </c>
      <c r="B9" s="143">
        <f>('Sch OL-TOU TSM Summary'!B9*'Sch OL-TOU Cust Fcst'!$F$39+'Sch AL-TOU TSM Summary'!B9*'Sch AL-TOU Cust Fcst'!$F$39+'Sch DG-R TSM Summary'!B9*'Sch DG-R Cust Fcst'!$F$39)/('Sch OL-TOU Cust Fcst'!$F$39+'Sch AL-TOU Cust Fcst'!$F$39+'Sch DG-R Cust Fcst'!$F$39)</f>
        <v>1375.9602302145927</v>
      </c>
      <c r="C9" s="163">
        <f>('Sch OL-TOU TSM Summary'!E9*'Sch OL-TOU Cust Fcst'!$F$40+'Sch AL-TOU TSM Summary'!C9*'Sch AL-TOU Cust Fcst'!$F$40+'Sch DG-R TSM Summary'!C9*'Sch DG-R Cust Fcst'!$F$40)/('Sch OL-TOU Cust Fcst'!$F$40+'Sch AL-TOU Cust Fcst'!$F$40+'Sch DG-R Cust Fcst'!$F$40)</f>
        <v>8734.8161579457628</v>
      </c>
      <c r="D9" s="163"/>
      <c r="E9" s="49">
        <f>('Sch OL-TOU TSM Summary'!E9*'Sch OL-TOU Cust Fcst'!$F$38+'Sch AL-TOU TSM Summary'!E9*'Sch AL-TOU Cust Fcst'!$F$38+'Sch DG-R TSM Summary'!E9*'Sch DG-R Cust Fcst'!$F$38)/('Sch OL-TOU Cust Fcst'!$F$38+'Sch AL-TOU Cust Fcst'!$F$38+'Sch DG-R Cust Fcst'!$F$38)</f>
        <v>1576.509088370331</v>
      </c>
      <c r="F9" s="143">
        <f>('Sch AL-TOU TSM Summary'!F9*'Sch AL-TOU Cust Fcst'!$G$39+'Sch DG-R TSM Summary'!F9*'Sch DG-R Cust Fcst'!$G$39+'Sch A6-TOU TSM Summary'!B9*'Sch A6-TOU Cust Fcst '!$B$39)/('Sch AL-TOU Cust Fcst'!$G$39+'Sch DG-R Cust Fcst'!$G$39+'Sch A6-TOU Cust Fcst '!$B$39)</f>
        <v>3129.9273129422195</v>
      </c>
      <c r="G9" s="163">
        <f>('Sch AL-TOU TSM Summary'!G9*'Sch AL-TOU Cust Fcst'!$G$40+'Sch DG-R TSM Summary'!G9*'Sch DG-R Cust Fcst'!$G$40+'Sch A6-TOU TSM Summary'!C9*'Sch A6-TOU Cust Fcst '!$B$40)/('Sch AL-TOU Cust Fcst'!$G$40+'Sch DG-R Cust Fcst'!$G$40+'Sch A6-TOU Cust Fcst '!$B$40)</f>
        <v>4296.395612969528</v>
      </c>
      <c r="H9" s="163">
        <f>('Sch AL-TOU TSM Summary'!H9*'Sch AL-TOU Cust Fcst'!$G$41+'Sch DG-R TSM Summary'!H9*'Sch DG-R Cust Fcst'!$G$41+'Sch A6-TOU TSM Summary'!D9*'Sch A6-TOU Cust Fcst '!$B$41)/('Sch AL-TOU Cust Fcst'!$G$41+'Sch DG-R Cust Fcst'!$G$41+'Sch A6-TOU Cust Fcst '!$B$41)</f>
        <v>7772.9285855999342</v>
      </c>
      <c r="I9" s="49">
        <f>('Sch AL-TOU TSM Summary'!I9*'Sch AL-TOU Cust Fcst'!$G$38+'Sch DG-R TSM Summary'!I9*'Sch DG-R Cust Fcst'!$G$38+'Sch A6-TOU TSM Summary'!E9*'Sch A6-TOU Cust Fcst '!$B$38)/('Sch AL-TOU Cust Fcst'!$G$38+'Sch DG-R Cust Fcst'!$G$38+'Sch A6-TOU Cust Fcst '!$B$38)</f>
        <v>3814.960287596637</v>
      </c>
      <c r="J9" s="143">
        <f>('Sch AL-TOU TSM Summary'!J9*'Sch AL-TOU Cust Fcst'!$H$39+'Sch A6-TOU TSM Summary'!F9*'Sch A6-TOU Cust Fcst '!$C$39)/('Sch AL-TOU Cust Fcst'!$H$39+'Sch A6-TOU Cust Fcst '!$C$39)</f>
        <v>58921.458906063985</v>
      </c>
      <c r="K9" s="163">
        <f>('Sch AL-TOU TSM Summary'!K9*'Sch AL-TOU Cust Fcst'!$H$40+'Sch A6-TOU TSM Summary'!G9*'Sch A6-TOU Cust Fcst '!$C$40)/('Sch AL-TOU Cust Fcst'!$H$40+'Sch A6-TOU Cust Fcst '!$C$40)</f>
        <v>96380.896869433884</v>
      </c>
      <c r="L9" s="163">
        <f>('Sch AL-TOU TSM Summary'!L9*'Sch AL-TOU Cust Fcst'!$H$41+'Sch A6-TOU TSM Summary'!H9*'Sch A6-TOU Cust Fcst '!$C$41)/('Sch AL-TOU Cust Fcst'!$H$41+'Sch A6-TOU Cust Fcst '!$C$41)</f>
        <v>146326.81415392709</v>
      </c>
      <c r="M9" s="49">
        <f>('Sch AL-TOU TSM Summary'!M9*'Sch AL-TOU Cust Fcst'!$H$38+'Sch A6-TOU TSM Summary'!I9*'Sch A6-TOU Cust Fcst '!$C$38)/('Sch AL-TOU Cust Fcst'!$H$38+'Sch A6-TOU Cust Fcst '!$C$38)</f>
        <v>93883.601005209232</v>
      </c>
      <c r="N9" s="143">
        <f>('Sch OL-TOU TSM Summary'!B9*'Sch OL-TOU Cust Fcst'!$H$39+'Sch AL-TOU TSM Summary'!N9*'Sch AL-TOU Cust Fcst'!$I$39+'Sch DG-R TSM Summary'!J9*'Sch DG-R Cust Fcst'!$H$39+'Sch A6-TOU TSM Summary'!J9*'Sch A6-TOU Cust Fcst '!$D$39)/('Sch OL-TOU Cust Fcst'!$H$39+'Sch AL-TOU Cust Fcst'!$I$39+'Sch DG-R Cust Fcst'!$H$39+'Sch A6-TOU Cust Fcst '!$D$39)</f>
        <v>1415.223355622036</v>
      </c>
      <c r="O9" s="163">
        <f>('Sch OL-TOU TSM Summary'!C9*'Sch OL-TOU Cust Fcst'!$H$40+'Sch AL-TOU TSM Summary'!O9*'Sch AL-TOU Cust Fcst'!$I$40+'Sch DG-R TSM Summary'!K9*'Sch DG-R Cust Fcst'!$H$40+'Sch A6-TOU TSM Summary'!K9*'Sch A6-TOU Cust Fcst '!$D$40)/('Sch OL-TOU Cust Fcst'!$H$40+'Sch AL-TOU Cust Fcst'!$I$40+'Sch DG-R Cust Fcst'!$H$40+'Sch A6-TOU Cust Fcst '!$D$40)</f>
        <v>9200.5958141324209</v>
      </c>
      <c r="P9" s="163">
        <f>('Sch OL-TOU TSM Summary'!D9*'Sch OL-TOU Cust Fcst'!$H$41+'Sch AL-TOU TSM Summary'!P9*'Sch AL-TOU Cust Fcst'!$I$41+'Sch DG-R TSM Summary'!L9*'Sch DG-R Cust Fcst'!$H$41+'Sch A6-TOU TSM Summary'!L9*'Sch A6-TOU Cust Fcst '!$D$41)/('Sch OL-TOU Cust Fcst'!$H$41+'Sch AL-TOU Cust Fcst'!$I$41+'Sch DG-R Cust Fcst'!$H$41+'Sch A6-TOU Cust Fcst '!$D$41)</f>
        <v>86946.577481786881</v>
      </c>
      <c r="Q9" s="49">
        <f>('Sch OL-TOU TSM Summary'!E9*'Sch OL-TOU Cust Fcst'!$H$38+'Sch AL-TOU TSM Summary'!Q9*'Sch AL-TOU Cust Fcst'!$I$38+'Sch DG-R TSM Summary'!M9*'Sch DG-R Cust Fcst'!$H$38+'Sch A6-TOU TSM Summary'!M9*'Sch A6-TOU Cust Fcst '!$D$38)/('Sch OL-TOU Cust Fcst'!$H$38+'Sch AL-TOU Cust Fcst'!$I$38+'Sch DG-R Cust Fcst'!$H$38+'Sch A6-TOU Cust Fcst '!$D$38)</f>
        <v>1749.135258009163</v>
      </c>
    </row>
    <row r="10" spans="1:17">
      <c r="A10" s="145" t="s">
        <v>52</v>
      </c>
      <c r="B10" s="143">
        <f>('Sch OL-TOU TSM Summary'!B10*'Sch OL-TOU Cust Fcst'!$F$39+'Sch AL-TOU TSM Summary'!B10*'Sch AL-TOU Cust Fcst'!$F$39+'Sch DG-R TSM Summary'!B10*'Sch DG-R Cust Fcst'!$F$39)/('Sch OL-TOU Cust Fcst'!$F$39+'Sch AL-TOU Cust Fcst'!$F$39+'Sch DG-R Cust Fcst'!$F$39)</f>
        <v>422.81440890607752</v>
      </c>
      <c r="C10" s="163">
        <f>('Sch OL-TOU TSM Summary'!E10*'Sch OL-TOU Cust Fcst'!$F$40+'Sch AL-TOU TSM Summary'!C10*'Sch AL-TOU Cust Fcst'!$F$40+'Sch DG-R TSM Summary'!C10*'Sch DG-R Cust Fcst'!$F$40)/('Sch OL-TOU Cust Fcst'!$F$40+'Sch AL-TOU Cust Fcst'!$F$40+'Sch DG-R Cust Fcst'!$F$40)</f>
        <v>865.67585029149438</v>
      </c>
      <c r="D10" s="163"/>
      <c r="E10" s="49">
        <f>('Sch OL-TOU TSM Summary'!E10*'Sch OL-TOU Cust Fcst'!$F$38+'Sch AL-TOU TSM Summary'!E10*'Sch AL-TOU Cust Fcst'!$F$38+'Sch DG-R TSM Summary'!E10*'Sch DG-R Cust Fcst'!$F$38)/('Sch OL-TOU Cust Fcst'!$F$38+'Sch AL-TOU Cust Fcst'!$F$38+'Sch DG-R Cust Fcst'!$F$38)</f>
        <v>434.88358885242712</v>
      </c>
      <c r="F10" s="143">
        <f>('Sch AL-TOU TSM Summary'!F10*'Sch AL-TOU Cust Fcst'!$G$39+'Sch DG-R TSM Summary'!F10*'Sch DG-R Cust Fcst'!$G$39+'Sch A6-TOU TSM Summary'!B10*'Sch A6-TOU Cust Fcst '!$B$39)/('Sch AL-TOU Cust Fcst'!$G$39+'Sch DG-R Cust Fcst'!$G$39+'Sch A6-TOU Cust Fcst '!$B$39)</f>
        <v>947.3924807403821</v>
      </c>
      <c r="G10" s="163">
        <f>('Sch AL-TOU TSM Summary'!G10*'Sch AL-TOU Cust Fcst'!$G$40+'Sch DG-R TSM Summary'!G10*'Sch DG-R Cust Fcst'!$G$40+'Sch A6-TOU TSM Summary'!C10*'Sch A6-TOU Cust Fcst '!$B$40)/('Sch AL-TOU Cust Fcst'!$G$40+'Sch DG-R Cust Fcst'!$G$40+'Sch A6-TOU Cust Fcst '!$B$40)</f>
        <v>967.82163835260428</v>
      </c>
      <c r="H10" s="163">
        <f>('Sch AL-TOU TSM Summary'!H10*'Sch AL-TOU Cust Fcst'!$G$41+'Sch DG-R TSM Summary'!H10*'Sch DG-R Cust Fcst'!$G$41+'Sch A6-TOU TSM Summary'!D10*'Sch A6-TOU Cust Fcst '!$B$41)/('Sch AL-TOU Cust Fcst'!$G$41+'Sch DG-R Cust Fcst'!$G$41+'Sch A6-TOU Cust Fcst '!$B$41)</f>
        <v>967.82163835260417</v>
      </c>
      <c r="I10" s="49">
        <f>('Sch AL-TOU TSM Summary'!I10*'Sch AL-TOU Cust Fcst'!$G$38+'Sch DG-R TSM Summary'!I10*'Sch DG-R Cust Fcst'!$G$38+'Sch A6-TOU TSM Summary'!E10*'Sch A6-TOU Cust Fcst '!$B$38)/('Sch AL-TOU Cust Fcst'!$G$38+'Sch DG-R Cust Fcst'!$G$38+'Sch A6-TOU Cust Fcst '!$B$38)</f>
        <v>958.89085906857269</v>
      </c>
      <c r="J10" s="143">
        <f>('Sch AL-TOU TSM Summary'!J10*'Sch AL-TOU Cust Fcst'!$H$39+'Sch A6-TOU TSM Summary'!F10*'Sch A6-TOU Cust Fcst '!$C$39)/('Sch AL-TOU Cust Fcst'!$H$39+'Sch A6-TOU Cust Fcst '!$C$39)</f>
        <v>967.82163835260417</v>
      </c>
      <c r="K10" s="163">
        <f>('Sch AL-TOU TSM Summary'!K10*'Sch AL-TOU Cust Fcst'!$H$40+'Sch A6-TOU TSM Summary'!G10*'Sch A6-TOU Cust Fcst '!$C$40)/('Sch AL-TOU Cust Fcst'!$H$40+'Sch A6-TOU Cust Fcst '!$C$40)</f>
        <v>967.82163835260417</v>
      </c>
      <c r="L10" s="163">
        <f>('Sch AL-TOU TSM Summary'!L10*'Sch AL-TOU Cust Fcst'!$H$41+'Sch A6-TOU TSM Summary'!H10*'Sch A6-TOU Cust Fcst '!$C$41)/('Sch AL-TOU Cust Fcst'!$H$41+'Sch A6-TOU Cust Fcst '!$C$41)</f>
        <v>967.82163835260417</v>
      </c>
      <c r="M10" s="49">
        <f>('Sch AL-TOU TSM Summary'!M10*'Sch AL-TOU Cust Fcst'!$H$38+'Sch A6-TOU TSM Summary'!I10*'Sch A6-TOU Cust Fcst '!$C$38)/('Sch AL-TOU Cust Fcst'!$H$38+'Sch A6-TOU Cust Fcst '!$C$38)</f>
        <v>967.8216383526044</v>
      </c>
      <c r="N10" s="143">
        <f>('Sch OL-TOU TSM Summary'!B10*'Sch OL-TOU Cust Fcst'!$H$39+'Sch AL-TOU TSM Summary'!N10*'Sch AL-TOU Cust Fcst'!$I$39+'Sch DG-R TSM Summary'!J10*'Sch DG-R Cust Fcst'!$H$39+'Sch A6-TOU TSM Summary'!J10*'Sch A6-TOU Cust Fcst '!$D$39)/('Sch OL-TOU Cust Fcst'!$H$39+'Sch AL-TOU Cust Fcst'!$I$39+'Sch DG-R Cust Fcst'!$H$39+'Sch A6-TOU Cust Fcst '!$D$39)</f>
        <v>427.85534313366497</v>
      </c>
      <c r="O10" s="163">
        <f>('Sch OL-TOU TSM Summary'!C10*'Sch OL-TOU Cust Fcst'!$H$40+'Sch AL-TOU TSM Summary'!O10*'Sch AL-TOU Cust Fcst'!$I$40+'Sch DG-R TSM Summary'!K10*'Sch DG-R Cust Fcst'!$H$40+'Sch A6-TOU TSM Summary'!K10*'Sch A6-TOU Cust Fcst '!$D$40)/('Sch OL-TOU Cust Fcst'!$H$40+'Sch AL-TOU Cust Fcst'!$I$40+'Sch DG-R Cust Fcst'!$H$40+'Sch A6-TOU Cust Fcst '!$D$40)</f>
        <v>897.34104459043806</v>
      </c>
      <c r="P10" s="163">
        <f>('Sch OL-TOU TSM Summary'!D10*'Sch OL-TOU Cust Fcst'!$H$41+'Sch AL-TOU TSM Summary'!P10*'Sch AL-TOU Cust Fcst'!$I$41+'Sch DG-R TSM Summary'!L10*'Sch DG-R Cust Fcst'!$H$41+'Sch A6-TOU TSM Summary'!L10*'Sch A6-TOU Cust Fcst '!$D$41)/('Sch OL-TOU Cust Fcst'!$H$41+'Sch AL-TOU Cust Fcst'!$I$41+'Sch DG-R Cust Fcst'!$H$41+'Sch A6-TOU Cust Fcst '!$D$41)</f>
        <v>967.82163835260417</v>
      </c>
      <c r="Q10" s="49">
        <f>('Sch OL-TOU TSM Summary'!E10*'Sch OL-TOU Cust Fcst'!$H$38+'Sch AL-TOU TSM Summary'!Q10*'Sch AL-TOU Cust Fcst'!$I$38+'Sch DG-R TSM Summary'!M10*'Sch DG-R Cust Fcst'!$H$38+'Sch A6-TOU TSM Summary'!M10*'Sch A6-TOU Cust Fcst '!$D$38)/('Sch OL-TOU Cust Fcst'!$H$38+'Sch AL-TOU Cust Fcst'!$I$38+'Sch DG-R Cust Fcst'!$H$38+'Sch A6-TOU Cust Fcst '!$D$38)</f>
        <v>446.20688089927575</v>
      </c>
    </row>
    <row r="11" spans="1:17">
      <c r="A11" s="518"/>
      <c r="B11" s="142"/>
      <c r="C11" s="34"/>
      <c r="D11" s="34"/>
      <c r="E11" s="49"/>
      <c r="F11" s="142"/>
      <c r="G11" s="34"/>
      <c r="H11" s="34"/>
      <c r="I11" s="44"/>
      <c r="J11" s="142"/>
      <c r="K11" s="34"/>
      <c r="L11" s="34"/>
      <c r="M11" s="44"/>
      <c r="N11" s="142"/>
      <c r="O11" s="34"/>
      <c r="P11" s="34"/>
      <c r="Q11" s="44"/>
    </row>
    <row r="12" spans="1:17">
      <c r="A12" s="145" t="s">
        <v>35</v>
      </c>
      <c r="B12" s="142">
        <f t="shared" ref="B12:I12" si="0">SUM(B8:B10)</f>
        <v>12987.840569659375</v>
      </c>
      <c r="C12" s="34">
        <f t="shared" si="0"/>
        <v>41624.717955790336</v>
      </c>
      <c r="D12" s="34"/>
      <c r="E12" s="44">
        <f t="shared" si="0"/>
        <v>13768.273440928418</v>
      </c>
      <c r="F12" s="142">
        <f t="shared" si="0"/>
        <v>4077.3197936826018</v>
      </c>
      <c r="G12" s="34">
        <f t="shared" si="0"/>
        <v>5264.2172513221321</v>
      </c>
      <c r="H12" s="34">
        <f t="shared" si="0"/>
        <v>8740.7502239525384</v>
      </c>
      <c r="I12" s="44">
        <f t="shared" si="0"/>
        <v>4773.8511466652099</v>
      </c>
      <c r="J12" s="142">
        <f t="shared" ref="J12:Q12" si="1">SUM(J8:J10)</f>
        <v>59889.280544416586</v>
      </c>
      <c r="K12" s="34">
        <f t="shared" si="1"/>
        <v>97348.718507786485</v>
      </c>
      <c r="L12" s="34">
        <f t="shared" si="1"/>
        <v>147294.6357922797</v>
      </c>
      <c r="M12" s="44">
        <f t="shared" si="1"/>
        <v>94851.422643561833</v>
      </c>
      <c r="N12" s="142">
        <f t="shared" si="1"/>
        <v>12924.798503574872</v>
      </c>
      <c r="O12" s="34">
        <f t="shared" si="1"/>
        <v>32194.652762534482</v>
      </c>
      <c r="P12" s="34">
        <f t="shared" si="1"/>
        <v>87914.399120139482</v>
      </c>
      <c r="Q12" s="44">
        <f t="shared" si="1"/>
        <v>13698.444588679635</v>
      </c>
    </row>
    <row r="13" spans="1:17">
      <c r="A13" s="518"/>
      <c r="B13" s="142"/>
      <c r="C13" s="34"/>
      <c r="D13" s="34"/>
      <c r="E13" s="44"/>
      <c r="F13" s="142"/>
      <c r="G13" s="34"/>
      <c r="H13" s="34"/>
      <c r="I13" s="44"/>
      <c r="J13" s="142"/>
      <c r="K13" s="34"/>
      <c r="L13" s="34"/>
      <c r="M13" s="44"/>
      <c r="N13" s="142"/>
      <c r="O13" s="34"/>
      <c r="P13" s="34"/>
      <c r="Q13" s="44"/>
    </row>
    <row r="14" spans="1:17">
      <c r="A14" s="145" t="s">
        <v>65</v>
      </c>
      <c r="B14" s="142"/>
      <c r="C14" s="34"/>
      <c r="D14" s="34"/>
      <c r="E14" s="44"/>
      <c r="F14" s="142"/>
      <c r="G14" s="34"/>
      <c r="H14" s="34"/>
      <c r="I14" s="44"/>
      <c r="J14" s="142"/>
      <c r="K14" s="34"/>
      <c r="L14" s="34"/>
      <c r="M14" s="44"/>
      <c r="N14" s="142"/>
      <c r="O14" s="34"/>
      <c r="P14" s="34"/>
      <c r="Q14" s="44"/>
    </row>
    <row r="15" spans="1:17">
      <c r="A15" s="519">
        <f>Inputs!C3</f>
        <v>2.7723662892949787E-2</v>
      </c>
      <c r="B15" s="142"/>
      <c r="C15" s="34"/>
      <c r="D15" s="34"/>
      <c r="E15" s="44"/>
      <c r="F15" s="142"/>
      <c r="G15" s="34"/>
      <c r="H15" s="34"/>
      <c r="I15" s="44"/>
      <c r="J15" s="142"/>
      <c r="K15" s="34"/>
      <c r="L15" s="34"/>
      <c r="M15" s="44"/>
      <c r="N15" s="142"/>
      <c r="O15" s="34"/>
      <c r="P15" s="34"/>
      <c r="Q15" s="44"/>
    </row>
    <row r="16" spans="1:17">
      <c r="A16" s="40" t="s">
        <v>64</v>
      </c>
      <c r="B16" s="142"/>
      <c r="C16" s="34"/>
      <c r="D16" s="34"/>
      <c r="E16" s="44"/>
      <c r="F16" s="142"/>
      <c r="G16" s="34"/>
      <c r="H16" s="34"/>
      <c r="I16" s="44"/>
      <c r="J16" s="142"/>
      <c r="K16" s="34"/>
      <c r="L16" s="34"/>
      <c r="M16" s="44"/>
      <c r="N16" s="142"/>
      <c r="O16" s="34"/>
      <c r="P16" s="34"/>
      <c r="Q16" s="44"/>
    </row>
    <row r="17" spans="1:17">
      <c r="A17" s="53">
        <f>Inputs!C4</f>
        <v>1.5023E-2</v>
      </c>
      <c r="B17" s="142"/>
      <c r="C17" s="34"/>
      <c r="D17" s="34"/>
      <c r="E17" s="44"/>
      <c r="F17" s="142"/>
      <c r="G17" s="34"/>
      <c r="H17" s="34"/>
      <c r="I17" s="44"/>
      <c r="J17" s="142"/>
      <c r="K17" s="34"/>
      <c r="L17" s="34"/>
      <c r="M17" s="44"/>
      <c r="N17" s="142"/>
      <c r="O17" s="34"/>
      <c r="P17" s="34"/>
      <c r="Q17" s="44"/>
    </row>
    <row r="18" spans="1:17">
      <c r="A18" s="520" t="s">
        <v>111</v>
      </c>
      <c r="B18" s="142">
        <f>(B8*(1+$A$15)*(1+$A$17))</f>
        <v>11672.021322981125</v>
      </c>
      <c r="C18" s="34">
        <f>(C8*(1+$A$15)*(1+$A$17))</f>
        <v>33406.49259127288</v>
      </c>
      <c r="D18" s="34"/>
      <c r="E18" s="44">
        <f t="shared" ref="E18:Q18" si="2">(E8*(1+$A$15)*(1+$A$17))</f>
        <v>12264.344836076254</v>
      </c>
      <c r="F18" s="142">
        <f t="shared" si="2"/>
        <v>0</v>
      </c>
      <c r="G18" s="34">
        <f t="shared" si="2"/>
        <v>0</v>
      </c>
      <c r="H18" s="34">
        <f t="shared" si="2"/>
        <v>0</v>
      </c>
      <c r="I18" s="44">
        <f t="shared" si="2"/>
        <v>0</v>
      </c>
      <c r="J18" s="142">
        <f t="shared" si="2"/>
        <v>0</v>
      </c>
      <c r="K18" s="34">
        <f t="shared" si="2"/>
        <v>0</v>
      </c>
      <c r="L18" s="34">
        <f t="shared" si="2"/>
        <v>0</v>
      </c>
      <c r="M18" s="44">
        <f t="shared" si="2"/>
        <v>0</v>
      </c>
      <c r="N18" s="142">
        <f t="shared" si="2"/>
        <v>11560.041799746919</v>
      </c>
      <c r="O18" s="34">
        <f t="shared" si="2"/>
        <v>23050.479887978287</v>
      </c>
      <c r="P18" s="34">
        <f t="shared" si="2"/>
        <v>0</v>
      </c>
      <c r="Q18" s="44">
        <f t="shared" si="2"/>
        <v>11999.612649319834</v>
      </c>
    </row>
    <row r="19" spans="1:17">
      <c r="A19" s="520" t="s">
        <v>51</v>
      </c>
      <c r="B19" s="142">
        <f t="shared" ref="B19:C20" si="3">(B9*(1+$A$15)*(1+$A$17))</f>
        <v>1435.3510155664544</v>
      </c>
      <c r="C19" s="34">
        <f t="shared" si="3"/>
        <v>9111.8383858655507</v>
      </c>
      <c r="D19" s="34"/>
      <c r="E19" s="44">
        <f t="shared" ref="E19:Q19" si="4">(E9*(1+$A$15)*(1+$A$17))</f>
        <v>1644.5561952682237</v>
      </c>
      <c r="F19" s="142">
        <f t="shared" si="4"/>
        <v>3265.0248521936915</v>
      </c>
      <c r="G19" s="34">
        <f t="shared" si="4"/>
        <v>4481.8416048182589</v>
      </c>
      <c r="H19" s="34">
        <f t="shared" si="4"/>
        <v>8108.4327106797118</v>
      </c>
      <c r="I19" s="44">
        <f t="shared" si="4"/>
        <v>3979.6260116424496</v>
      </c>
      <c r="J19" s="142">
        <f t="shared" si="4"/>
        <v>61464.694997969658</v>
      </c>
      <c r="K19" s="34">
        <f t="shared" si="4"/>
        <v>100541.00050636803</v>
      </c>
      <c r="L19" s="34">
        <f t="shared" si="4"/>
        <v>152642.74118423252</v>
      </c>
      <c r="M19" s="44">
        <f t="shared" si="4"/>
        <v>97935.9134724748</v>
      </c>
      <c r="N19" s="142">
        <f t="shared" si="4"/>
        <v>1476.3088613605132</v>
      </c>
      <c r="O19" s="34">
        <f t="shared" si="4"/>
        <v>9597.7225617718886</v>
      </c>
      <c r="P19" s="34">
        <f t="shared" si="4"/>
        <v>90699.46612413846</v>
      </c>
      <c r="Q19" s="44">
        <f t="shared" si="4"/>
        <v>1824.6334551071955</v>
      </c>
    </row>
    <row r="20" spans="1:17">
      <c r="A20" s="520" t="s">
        <v>52</v>
      </c>
      <c r="B20" s="142">
        <f t="shared" si="3"/>
        <v>441.0644129771245</v>
      </c>
      <c r="C20" s="34">
        <f t="shared" si="3"/>
        <v>903.04115161341861</v>
      </c>
      <c r="D20" s="34"/>
      <c r="E20" s="44">
        <f t="shared" ref="E20:Q20" si="5">(E10*(1+$A$15)*(1+$A$17))</f>
        <v>453.65453681402164</v>
      </c>
      <c r="F20" s="142">
        <f t="shared" si="5"/>
        <v>988.28492968772173</v>
      </c>
      <c r="G20" s="34">
        <f t="shared" si="5"/>
        <v>1009.5958742062977</v>
      </c>
      <c r="H20" s="34">
        <f t="shared" si="5"/>
        <v>1009.5958742062976</v>
      </c>
      <c r="I20" s="44">
        <f t="shared" si="5"/>
        <v>1000.2796143074665</v>
      </c>
      <c r="J20" s="142">
        <f t="shared" si="5"/>
        <v>1009.5958742062976</v>
      </c>
      <c r="K20" s="34">
        <f t="shared" si="5"/>
        <v>1009.5958742062976</v>
      </c>
      <c r="L20" s="34">
        <f t="shared" si="5"/>
        <v>1009.5958742062976</v>
      </c>
      <c r="M20" s="44">
        <f t="shared" si="5"/>
        <v>1009.5958742062978</v>
      </c>
      <c r="N20" s="142">
        <f t="shared" si="5"/>
        <v>446.32292983254484</v>
      </c>
      <c r="O20" s="34">
        <f t="shared" si="5"/>
        <v>936.07311561721065</v>
      </c>
      <c r="P20" s="34">
        <f t="shared" si="5"/>
        <v>1009.5958742062976</v>
      </c>
      <c r="Q20" s="44">
        <f t="shared" si="5"/>
        <v>465.46657787604056</v>
      </c>
    </row>
    <row r="21" spans="1:17">
      <c r="A21" s="145"/>
      <c r="B21" s="147"/>
      <c r="C21" s="97"/>
      <c r="D21" s="97"/>
      <c r="E21" s="99"/>
      <c r="F21" s="147"/>
      <c r="G21" s="97"/>
      <c r="H21" s="97"/>
      <c r="I21" s="99"/>
      <c r="J21" s="147"/>
      <c r="K21" s="97"/>
      <c r="L21" s="97"/>
      <c r="M21" s="99"/>
      <c r="N21" s="147"/>
      <c r="O21" s="97"/>
      <c r="P21" s="97"/>
      <c r="Q21" s="99"/>
    </row>
    <row r="22" spans="1:17">
      <c r="A22" s="145" t="s">
        <v>35</v>
      </c>
      <c r="B22" s="147">
        <f t="shared" ref="B22:Q22" si="6">B18+B19+B20</f>
        <v>13548.436751524703</v>
      </c>
      <c r="C22" s="97">
        <f t="shared" si="6"/>
        <v>43421.372128751849</v>
      </c>
      <c r="D22" s="97"/>
      <c r="E22" s="99">
        <f t="shared" si="6"/>
        <v>14362.555568158499</v>
      </c>
      <c r="F22" s="147">
        <f t="shared" si="6"/>
        <v>4253.3097818814131</v>
      </c>
      <c r="G22" s="97">
        <f t="shared" si="6"/>
        <v>5491.4374790245565</v>
      </c>
      <c r="H22" s="97">
        <f t="shared" si="6"/>
        <v>9118.0285848860094</v>
      </c>
      <c r="I22" s="99">
        <f t="shared" si="6"/>
        <v>4979.9056259499157</v>
      </c>
      <c r="J22" s="147">
        <f t="shared" si="6"/>
        <v>62474.29087217596</v>
      </c>
      <c r="K22" s="97">
        <f t="shared" si="6"/>
        <v>101550.59638057432</v>
      </c>
      <c r="L22" s="97">
        <f t="shared" si="6"/>
        <v>153652.33705843883</v>
      </c>
      <c r="M22" s="99">
        <f t="shared" si="6"/>
        <v>98945.509346681094</v>
      </c>
      <c r="N22" s="147">
        <f t="shared" si="6"/>
        <v>13482.673590939978</v>
      </c>
      <c r="O22" s="97">
        <f t="shared" si="6"/>
        <v>33584.275565367388</v>
      </c>
      <c r="P22" s="97">
        <f t="shared" si="6"/>
        <v>91709.061998344754</v>
      </c>
      <c r="Q22" s="99">
        <f t="shared" si="6"/>
        <v>14289.71268230307</v>
      </c>
    </row>
    <row r="23" spans="1:17">
      <c r="A23" s="145"/>
      <c r="B23" s="142"/>
      <c r="C23" s="34"/>
      <c r="D23" s="34"/>
      <c r="E23" s="44"/>
      <c r="F23" s="142"/>
      <c r="G23" s="34"/>
      <c r="H23" s="34"/>
      <c r="I23" s="44"/>
      <c r="J23" s="142"/>
      <c r="K23" s="34"/>
      <c r="L23" s="34"/>
      <c r="M23" s="44"/>
      <c r="N23" s="142"/>
      <c r="O23" s="34"/>
      <c r="P23" s="34"/>
      <c r="Q23" s="44"/>
    </row>
    <row r="24" spans="1:17">
      <c r="A24" s="806" t="str">
        <f>'Resid TSM Sum by Rate Schedule'!A25</f>
        <v>Annualized Transformer Cost at 8.05%</v>
      </c>
      <c r="B24" s="147">
        <f>B18*Inputs!$C$5</f>
        <v>939.34866513636007</v>
      </c>
      <c r="C24" s="97">
        <f>C18*Inputs!$C$5</f>
        <v>2688.509843681908</v>
      </c>
      <c r="D24" s="97"/>
      <c r="E24" s="99">
        <f>E18*Inputs!$C$5</f>
        <v>987.01806925741766</v>
      </c>
      <c r="F24" s="147">
        <f>F18*Inputs!$C$5</f>
        <v>0</v>
      </c>
      <c r="G24" s="97">
        <f>G18*Inputs!$C$5</f>
        <v>0</v>
      </c>
      <c r="H24" s="97">
        <f>H18*Inputs!$C$5</f>
        <v>0</v>
      </c>
      <c r="I24" s="99">
        <f>I18*Inputs!$C$5</f>
        <v>0</v>
      </c>
      <c r="J24" s="147">
        <f>J18*Inputs!$C$5</f>
        <v>0</v>
      </c>
      <c r="K24" s="97">
        <f>K18*Inputs!$C$5</f>
        <v>0</v>
      </c>
      <c r="L24" s="97">
        <f>L18*Inputs!$C$5</f>
        <v>0</v>
      </c>
      <c r="M24" s="99">
        <f>M18*Inputs!$C$5</f>
        <v>0</v>
      </c>
      <c r="N24" s="147">
        <f>N18*Inputs!$C$5</f>
        <v>930.3367028753288</v>
      </c>
      <c r="O24" s="97">
        <f>O18*Inputs!$C$5</f>
        <v>1855.0717921405164</v>
      </c>
      <c r="P24" s="97">
        <f>P18*Inputs!$C$5</f>
        <v>0</v>
      </c>
      <c r="Q24" s="99">
        <f>Q18*Inputs!$C$5</f>
        <v>965.71277693768434</v>
      </c>
    </row>
    <row r="25" spans="1:17">
      <c r="A25" s="806" t="str">
        <f>'Resid TSM Sum by Rate Schedule'!A26</f>
        <v>Annualized Services Cost at 7.08%</v>
      </c>
      <c r="B25" s="147">
        <f>B19*Inputs!$C$6</f>
        <v>101.58705416414554</v>
      </c>
      <c r="C25" s="97">
        <f>C19*Inputs!$C$6</f>
        <v>644.89090793903313</v>
      </c>
      <c r="D25" s="97"/>
      <c r="E25" s="99">
        <f>E19*Inputs!$C$6</f>
        <v>116.39356329765963</v>
      </c>
      <c r="F25" s="147">
        <f>F19*Inputs!$C$6</f>
        <v>231.08232962526188</v>
      </c>
      <c r="G25" s="97">
        <f>G19*Inputs!$C$6</f>
        <v>317.20260823037256</v>
      </c>
      <c r="H25" s="97">
        <f>H19*Inputs!$C$6</f>
        <v>573.87481113187869</v>
      </c>
      <c r="I25" s="99">
        <f>I19*Inputs!$C$6</f>
        <v>281.6582695196808</v>
      </c>
      <c r="J25" s="147">
        <f>J19*Inputs!$C$6</f>
        <v>4350.1674727817417</v>
      </c>
      <c r="K25" s="97">
        <f>K19*Inputs!$C$6</f>
        <v>7115.7953374401723</v>
      </c>
      <c r="L25" s="97">
        <f>L19*Inputs!$C$6</f>
        <v>10803.299156984747</v>
      </c>
      <c r="M25" s="99">
        <f>M19*Inputs!$C$6</f>
        <v>6931.4201464629432</v>
      </c>
      <c r="N25" s="147">
        <f>N19*Inputs!$C$6</f>
        <v>104.48584815530437</v>
      </c>
      <c r="O25" s="97">
        <f>O19*Inputs!$C$6</f>
        <v>679.27938961354459</v>
      </c>
      <c r="P25" s="97">
        <f>P19*Inputs!$C$6</f>
        <v>6419.2601516192317</v>
      </c>
      <c r="Q25" s="99">
        <f>Q19*Inputs!$C$6</f>
        <v>129.13854215690617</v>
      </c>
    </row>
    <row r="26" spans="1:17" ht="15">
      <c r="A26" s="806" t="str">
        <f>'Resid TSM Sum by Rate Schedule'!A27</f>
        <v>Annualized Meter Cost at 10.78%</v>
      </c>
      <c r="B26" s="628">
        <f>B20*Inputs!$C$7</f>
        <v>47.531945719638678</v>
      </c>
      <c r="C26" s="627">
        <f>C20*Inputs!$C$7</f>
        <v>97.317538523143568</v>
      </c>
      <c r="D26" s="627"/>
      <c r="E26" s="626">
        <f>E20*Inputs!$C$7</f>
        <v>48.88873866237369</v>
      </c>
      <c r="F26" s="628">
        <f>F20*Inputs!$C$7</f>
        <v>106.5039578150914</v>
      </c>
      <c r="G26" s="627">
        <f>G20*Inputs!$C$7</f>
        <v>108.80056263807838</v>
      </c>
      <c r="H26" s="627">
        <f>H20*Inputs!$C$7</f>
        <v>108.80056263807836</v>
      </c>
      <c r="I26" s="626">
        <f>I20*Inputs!$C$7</f>
        <v>107.79658238759225</v>
      </c>
      <c r="J26" s="628">
        <f>J20*Inputs!$C$7</f>
        <v>108.80056263807836</v>
      </c>
      <c r="K26" s="627">
        <f>K20*Inputs!$C$7</f>
        <v>108.80056263807836</v>
      </c>
      <c r="L26" s="627">
        <f>L20*Inputs!$C$7</f>
        <v>108.80056263807836</v>
      </c>
      <c r="M26" s="626">
        <f>M20*Inputs!$C$7</f>
        <v>108.80056263807839</v>
      </c>
      <c r="N26" s="628">
        <f>N20*Inputs!$C$7</f>
        <v>48.098637409976</v>
      </c>
      <c r="O26" s="627">
        <f>O20*Inputs!$C$7</f>
        <v>100.8772759987733</v>
      </c>
      <c r="P26" s="627">
        <f>P20*Inputs!$C$7</f>
        <v>108.80056263807836</v>
      </c>
      <c r="Q26" s="626">
        <f>Q20*Inputs!$C$7</f>
        <v>50.161680387162413</v>
      </c>
    </row>
    <row r="27" spans="1:17">
      <c r="A27" s="621" t="s">
        <v>380</v>
      </c>
      <c r="B27" s="147">
        <f>SUM(B24:B26)</f>
        <v>1088.4676650201443</v>
      </c>
      <c r="C27" s="97">
        <f>SUM(C24:C26)</f>
        <v>3430.7182901440847</v>
      </c>
      <c r="D27" s="97"/>
      <c r="E27" s="99">
        <f t="shared" ref="E27:Q27" si="7">SUM(E24:E26)</f>
        <v>1152.3003712174509</v>
      </c>
      <c r="F27" s="147">
        <f t="shared" si="7"/>
        <v>337.58628744035326</v>
      </c>
      <c r="G27" s="97">
        <f t="shared" si="7"/>
        <v>426.00317086845092</v>
      </c>
      <c r="H27" s="97">
        <f t="shared" si="7"/>
        <v>682.6753737699571</v>
      </c>
      <c r="I27" s="99">
        <f t="shared" si="7"/>
        <v>389.45485190727305</v>
      </c>
      <c r="J27" s="147">
        <f t="shared" si="7"/>
        <v>4458.9680354198199</v>
      </c>
      <c r="K27" s="97">
        <f t="shared" si="7"/>
        <v>7224.5959000782505</v>
      </c>
      <c r="L27" s="97">
        <f t="shared" si="7"/>
        <v>10912.099719622825</v>
      </c>
      <c r="M27" s="99">
        <f t="shared" si="7"/>
        <v>7040.2207091010214</v>
      </c>
      <c r="N27" s="147">
        <f t="shared" si="7"/>
        <v>1082.9211884406091</v>
      </c>
      <c r="O27" s="97">
        <f t="shared" si="7"/>
        <v>2635.2284577528344</v>
      </c>
      <c r="P27" s="97">
        <f t="shared" si="7"/>
        <v>6528.0607142573099</v>
      </c>
      <c r="Q27" s="99">
        <f t="shared" si="7"/>
        <v>1145.012999481753</v>
      </c>
    </row>
    <row r="28" spans="1:17">
      <c r="A28" s="519"/>
      <c r="B28" s="142"/>
      <c r="C28" s="34"/>
      <c r="D28" s="34"/>
      <c r="E28" s="44"/>
      <c r="F28" s="142"/>
      <c r="G28" s="34"/>
      <c r="H28" s="34"/>
      <c r="I28" s="44"/>
      <c r="J28" s="142"/>
      <c r="K28" s="34"/>
      <c r="L28" s="34"/>
      <c r="M28" s="44"/>
      <c r="N28" s="142"/>
      <c r="O28" s="34"/>
      <c r="P28" s="34"/>
      <c r="Q28" s="44"/>
    </row>
    <row r="29" spans="1:17">
      <c r="A29" s="145" t="s">
        <v>50</v>
      </c>
      <c r="B29" s="143">
        <f>('Sch OL-TOU TSM Summary'!B29*'Sch OL-TOU Cust Fcst'!$F$39+'Sch AL-TOU TSM Summary'!B29*'Sch AL-TOU Cust Fcst'!$F$39+'Sch DG-R TSM Summary'!B29*'Sch DG-R Cust Fcst'!$F$39)/('Sch OL-TOU Cust Fcst'!$F$39+'Sch AL-TOU Cust Fcst'!$F$39+'Sch DG-R Cust Fcst'!$F$39)</f>
        <v>141.17828641785448</v>
      </c>
      <c r="C29" s="163">
        <f>('Sch OL-TOU TSM Summary'!E29*'Sch OL-TOU Cust Fcst'!$F$40+'Sch AL-TOU TSM Summary'!C29*'Sch AL-TOU Cust Fcst'!$F$40+'Sch DG-R TSM Summary'!C29*'Sch DG-R Cust Fcst'!$F$40)/('Sch OL-TOU Cust Fcst'!$F$40+'Sch AL-TOU Cust Fcst'!$F$40+'Sch DG-R Cust Fcst'!$F$40)</f>
        <v>141.258099085254</v>
      </c>
      <c r="D29" s="163"/>
      <c r="E29" s="49">
        <f>('Sch OL-TOU TSM Summary'!E29*'Sch OL-TOU Cust Fcst'!$F$38+'Sch AL-TOU TSM Summary'!E29*'Sch AL-TOU Cust Fcst'!$F$38+'Sch DG-R TSM Summary'!E29*'Sch DG-R Cust Fcst'!$F$38)/('Sch OL-TOU Cust Fcst'!$F$38+'Sch AL-TOU Cust Fcst'!$F$38+'Sch DG-R Cust Fcst'!$F$38)</f>
        <v>141.18046153032722</v>
      </c>
      <c r="F29" s="143">
        <f>('Sch AL-TOU TSM Summary'!F29*'Sch AL-TOU Cust Fcst'!$G$39+'Sch DG-R TSM Summary'!F29*'Sch DG-R Cust Fcst'!$G$39+'Sch A6-TOU TSM Summary'!B29*'Sch A6-TOU Cust Fcst '!$B$39)/('Sch AL-TOU Cust Fcst'!$G$39+'Sch DG-R Cust Fcst'!$G$39+'Sch A6-TOU Cust Fcst '!$B$39)</f>
        <v>48.678327113023478</v>
      </c>
      <c r="G29" s="163">
        <f>('Sch AL-TOU TSM Summary'!G29*'Sch AL-TOU Cust Fcst'!$G$40+'Sch DG-R TSM Summary'!G29*'Sch DG-R Cust Fcst'!$G$40+'Sch A6-TOU TSM Summary'!C29*'Sch A6-TOU Cust Fcst '!$B$40)/('Sch AL-TOU Cust Fcst'!$G$40+'Sch DG-R Cust Fcst'!$G$40+'Sch A6-TOU Cust Fcst '!$B$40)</f>
        <v>49.169190112832965</v>
      </c>
      <c r="H29" s="163">
        <f>('Sch AL-TOU TSM Summary'!H29*'Sch AL-TOU Cust Fcst'!$G$41+'Sch DG-R TSM Summary'!H29*'Sch DG-R Cust Fcst'!$G$41+'Sch A6-TOU TSM Summary'!D29*'Sch A6-TOU Cust Fcst '!$B$41)/('Sch AL-TOU Cust Fcst'!$G$41+'Sch DG-R Cust Fcst'!$G$41+'Sch A6-TOU Cust Fcst '!$B$41)</f>
        <v>48.762628822627441</v>
      </c>
      <c r="I29" s="49">
        <f>('Sch AL-TOU TSM Summary'!I29*'Sch AL-TOU Cust Fcst'!$G$38+'Sch DG-R TSM Summary'!I29*'Sch DG-R Cust Fcst'!$G$38+'Sch A6-TOU TSM Summary'!E29*'Sch A6-TOU Cust Fcst '!$B$38)/('Sch AL-TOU Cust Fcst'!$G$38+'Sch DG-R Cust Fcst'!$G$38+'Sch A6-TOU Cust Fcst '!$B$38)</f>
        <v>48.951272725291616</v>
      </c>
      <c r="J29" s="143">
        <f>('Sch AL-TOU TSM Summary'!J29*'Sch AL-TOU Cust Fcst'!$H$39+'Sch A6-TOU TSM Summary'!F29*'Sch A6-TOU Cust Fcst '!$C$39)/('Sch AL-TOU Cust Fcst'!$H$39+'Sch A6-TOU Cust Fcst '!$C$39)</f>
        <v>912.85997380929678</v>
      </c>
      <c r="K29" s="163">
        <f>('Sch AL-TOU TSM Summary'!K29*'Sch AL-TOU Cust Fcst'!$H$40+'Sch A6-TOU TSM Summary'!G29*'Sch A6-TOU Cust Fcst '!$C$40)/('Sch AL-TOU Cust Fcst'!$H$40+'Sch A6-TOU Cust Fcst '!$C$40)</f>
        <v>973.82992147673031</v>
      </c>
      <c r="L29" s="163">
        <f>('Sch AL-TOU TSM Summary'!L29*'Sch AL-TOU Cust Fcst'!$H$41+'Sch A6-TOU TSM Summary'!H29*'Sch A6-TOU Cust Fcst '!$C$41)/('Sch AL-TOU Cust Fcst'!$H$41+'Sch A6-TOU Cust Fcst '!$C$41)</f>
        <v>1072.9060864363098</v>
      </c>
      <c r="M29" s="49">
        <f>('Sch AL-TOU TSM Summary'!M29*'Sch AL-TOU Cust Fcst'!$H$38+'Sch A6-TOU TSM Summary'!I29*'Sch A6-TOU Cust Fcst '!$C$38)/('Sch AL-TOU Cust Fcst'!$H$38+'Sch A6-TOU Cust Fcst '!$C$38)</f>
        <v>972.61052252338163</v>
      </c>
      <c r="N29" s="143">
        <f>('Sch OL-TOU TSM Summary'!B29*'Sch OL-TOU Cust Fcst'!$H$39+'Sch AL-TOU TSM Summary'!N29*'Sch AL-TOU Cust Fcst'!$I$39+'Sch DG-R TSM Summary'!J29*'Sch DG-R Cust Fcst'!$H$39+'Sch A6-TOU TSM Summary'!J29*'Sch A6-TOU Cust Fcst '!$D$39)/('Sch OL-TOU Cust Fcst'!$H$39+'Sch AL-TOU Cust Fcst'!$I$39+'Sch DG-R Cust Fcst'!$H$39+'Sch A6-TOU Cust Fcst '!$D$39)</f>
        <v>140.14134539462154</v>
      </c>
      <c r="O29" s="163">
        <f>('Sch OL-TOU TSM Summary'!C29*'Sch OL-TOU Cust Fcst'!$H$40+'Sch AL-TOU TSM Summary'!O29*'Sch AL-TOU Cust Fcst'!$I$40+'Sch DG-R TSM Summary'!K29*'Sch DG-R Cust Fcst'!$H$40+'Sch A6-TOU TSM Summary'!K29*'Sch A6-TOU Cust Fcst '!$D$40)/('Sch OL-TOU Cust Fcst'!$H$40+'Sch AL-TOU Cust Fcst'!$I$40+'Sch DG-R Cust Fcst'!$H$40+'Sch A6-TOU Cust Fcst '!$D$40)</f>
        <v>147.25684826477328</v>
      </c>
      <c r="P29" s="163">
        <f>('Sch OL-TOU TSM Summary'!D29*'Sch OL-TOU Cust Fcst'!$H$41+'Sch AL-TOU TSM Summary'!P29*'Sch AL-TOU Cust Fcst'!$I$41+'Sch DG-R TSM Summary'!L29*'Sch DG-R Cust Fcst'!$H$41+'Sch A6-TOU TSM Summary'!L29*'Sch A6-TOU Cust Fcst '!$D$41)/('Sch OL-TOU Cust Fcst'!$H$41+'Sch AL-TOU Cust Fcst'!$I$41+'Sch DG-R Cust Fcst'!$H$41+'Sch A6-TOU Cust Fcst '!$D$41)</f>
        <v>264.65078757315962</v>
      </c>
      <c r="Q29" s="49">
        <f>('Sch OL-TOU TSM Summary'!E29*'Sch OL-TOU Cust Fcst'!$H$38+'Sch AL-TOU TSM Summary'!Q29*'Sch AL-TOU Cust Fcst'!$I$38+'Sch DG-R TSM Summary'!M29*'Sch DG-R Cust Fcst'!$H$38+'Sch A6-TOU TSM Summary'!M29*'Sch A6-TOU Cust Fcst '!$D$38)/('Sch OL-TOU Cust Fcst'!$H$38+'Sch AL-TOU Cust Fcst'!$I$38+'Sch DG-R Cust Fcst'!$H$38+'Sch A6-TOU Cust Fcst '!$D$38)</f>
        <v>140.46443350902783</v>
      </c>
    </row>
    <row r="30" spans="1:17">
      <c r="A30" s="146"/>
      <c r="B30" s="10"/>
      <c r="C30" s="31"/>
      <c r="D30" s="31"/>
      <c r="E30" s="107"/>
      <c r="F30" s="10"/>
      <c r="G30" s="31"/>
      <c r="H30" s="31"/>
      <c r="I30" s="107"/>
      <c r="J30" s="10"/>
      <c r="K30" s="31"/>
      <c r="L30" s="31"/>
      <c r="M30" s="107"/>
      <c r="N30" s="10"/>
      <c r="O30" s="31"/>
      <c r="P30" s="31"/>
      <c r="Q30" s="107"/>
    </row>
    <row r="31" spans="1:17">
      <c r="A31" s="145" t="s">
        <v>61</v>
      </c>
      <c r="B31" s="143">
        <f>('Sch OL-TOU TSM Summary'!B31*'Sch OL-TOU Cust Fcst'!$F$39+'Sch AL-TOU TSM Summary'!B31*'Sch AL-TOU Cust Fcst'!$F$39+'Sch DG-R TSM Summary'!B31*'Sch DG-R Cust Fcst'!$F$39)/('Sch OL-TOU Cust Fcst'!$F$39+'Sch AL-TOU Cust Fcst'!$F$39+'Sch DG-R Cust Fcst'!$F$39)</f>
        <v>447.86258547437512</v>
      </c>
      <c r="C31" s="163">
        <f>('Sch OL-TOU TSM Summary'!E31*'Sch OL-TOU Cust Fcst'!$F$40+'Sch AL-TOU TSM Summary'!C31*'Sch AL-TOU Cust Fcst'!$F$40+'Sch DG-R TSM Summary'!C31*'Sch DG-R Cust Fcst'!$F$40)/('Sch OL-TOU Cust Fcst'!$F$40+'Sch AL-TOU Cust Fcst'!$F$40+'Sch DG-R Cust Fcst'!$F$40)</f>
        <v>447.86258547437507</v>
      </c>
      <c r="D31" s="163"/>
      <c r="E31" s="49">
        <f>('Sch OL-TOU TSM Summary'!E31*'Sch OL-TOU Cust Fcst'!$F$38+'Sch AL-TOU TSM Summary'!E31*'Sch AL-TOU Cust Fcst'!$F$38+'Sch DG-R TSM Summary'!E31*'Sch DG-R Cust Fcst'!$F$38)/('Sch OL-TOU Cust Fcst'!$F$38+'Sch AL-TOU Cust Fcst'!$F$38+'Sch DG-R Cust Fcst'!$F$38)</f>
        <v>447.86258547437507</v>
      </c>
      <c r="F31" s="143">
        <f>('Sch AL-TOU TSM Summary'!F31*'Sch AL-TOU Cust Fcst'!$G$39+'Sch DG-R TSM Summary'!F31*'Sch DG-R Cust Fcst'!$G$39+'Sch A6-TOU TSM Summary'!B31*'Sch A6-TOU Cust Fcst '!$B$39)/('Sch AL-TOU Cust Fcst'!$G$39+'Sch DG-R Cust Fcst'!$G$39+'Sch A6-TOU Cust Fcst '!$B$39)</f>
        <v>447.86258547437501</v>
      </c>
      <c r="G31" s="163">
        <f>('Sch AL-TOU TSM Summary'!G31*'Sch AL-TOU Cust Fcst'!$G$40+'Sch DG-R TSM Summary'!G31*'Sch DG-R Cust Fcst'!$G$40+'Sch A6-TOU TSM Summary'!C31*'Sch A6-TOU Cust Fcst '!$B$40)/('Sch AL-TOU Cust Fcst'!$G$40+'Sch DG-R Cust Fcst'!$G$40+'Sch A6-TOU Cust Fcst '!$B$40)</f>
        <v>447.86258547437507</v>
      </c>
      <c r="H31" s="163">
        <f>('Sch AL-TOU TSM Summary'!H31*'Sch AL-TOU Cust Fcst'!$G$41+'Sch DG-R TSM Summary'!H31*'Sch DG-R Cust Fcst'!$G$41+'Sch A6-TOU TSM Summary'!D31*'Sch A6-TOU Cust Fcst '!$B$41)/('Sch AL-TOU Cust Fcst'!$G$41+'Sch DG-R Cust Fcst'!$G$41+'Sch A6-TOU Cust Fcst '!$B$41)</f>
        <v>447.86258547437507</v>
      </c>
      <c r="I31" s="49">
        <f>('Sch AL-TOU TSM Summary'!I31*'Sch AL-TOU Cust Fcst'!$G$38+'Sch DG-R TSM Summary'!I31*'Sch DG-R Cust Fcst'!$G$38+'Sch A6-TOU TSM Summary'!E31*'Sch A6-TOU Cust Fcst '!$B$38)/('Sch AL-TOU Cust Fcst'!$G$38+'Sch DG-R Cust Fcst'!$G$38+'Sch A6-TOU Cust Fcst '!$B$38)</f>
        <v>447.86258547437501</v>
      </c>
      <c r="J31" s="143">
        <f>('Sch AL-TOU TSM Summary'!J31*'Sch AL-TOU Cust Fcst'!$H$39+'Sch A6-TOU TSM Summary'!F31*'Sch A6-TOU Cust Fcst '!$C$39)/('Sch AL-TOU Cust Fcst'!$H$39+'Sch A6-TOU Cust Fcst '!$C$39)</f>
        <v>447.86258547437507</v>
      </c>
      <c r="K31" s="163">
        <f>('Sch AL-TOU TSM Summary'!K31*'Sch AL-TOU Cust Fcst'!$H$40+'Sch A6-TOU TSM Summary'!G31*'Sch A6-TOU Cust Fcst '!$C$40)/('Sch AL-TOU Cust Fcst'!$H$40+'Sch A6-TOU Cust Fcst '!$C$40)</f>
        <v>447.86258547437507</v>
      </c>
      <c r="L31" s="163">
        <f>('Sch AL-TOU TSM Summary'!L31*'Sch AL-TOU Cust Fcst'!$H$41+'Sch A6-TOU TSM Summary'!H31*'Sch A6-TOU Cust Fcst '!$C$41)/('Sch AL-TOU Cust Fcst'!$H$41+'Sch A6-TOU Cust Fcst '!$C$41)</f>
        <v>447.86258547437507</v>
      </c>
      <c r="M31" s="49">
        <f>('Sch AL-TOU TSM Summary'!M31*'Sch AL-TOU Cust Fcst'!$H$38+'Sch A6-TOU TSM Summary'!I31*'Sch A6-TOU Cust Fcst '!$C$38)/('Sch AL-TOU Cust Fcst'!$H$38+'Sch A6-TOU Cust Fcst '!$C$38)</f>
        <v>447.86258547437507</v>
      </c>
      <c r="N31" s="143">
        <f>('Sch OL-TOU TSM Summary'!B31*'Sch OL-TOU Cust Fcst'!$H$39+'Sch AL-TOU TSM Summary'!N31*'Sch AL-TOU Cust Fcst'!$I$39+'Sch DG-R TSM Summary'!J31*'Sch DG-R Cust Fcst'!$H$39+'Sch A6-TOU TSM Summary'!J31*'Sch A6-TOU Cust Fcst '!$D$39)/('Sch OL-TOU Cust Fcst'!$H$39+'Sch AL-TOU Cust Fcst'!$I$39+'Sch DG-R Cust Fcst'!$H$39+'Sch A6-TOU Cust Fcst '!$D$39)</f>
        <v>447.86258547437512</v>
      </c>
      <c r="O31" s="163">
        <f>('Sch OL-TOU TSM Summary'!C31*'Sch OL-TOU Cust Fcst'!$H$40+'Sch AL-TOU TSM Summary'!O31*'Sch AL-TOU Cust Fcst'!$I$40+'Sch DG-R TSM Summary'!K31*'Sch DG-R Cust Fcst'!$H$40+'Sch A6-TOU TSM Summary'!K31*'Sch A6-TOU Cust Fcst '!$D$40)/('Sch OL-TOU Cust Fcst'!$H$40+'Sch AL-TOU Cust Fcst'!$I$40+'Sch DG-R Cust Fcst'!$H$40+'Sch A6-TOU Cust Fcst '!$D$40)</f>
        <v>447.86258547437501</v>
      </c>
      <c r="P31" s="163">
        <f>('Sch OL-TOU TSM Summary'!D31*'Sch OL-TOU Cust Fcst'!$H$41+'Sch AL-TOU TSM Summary'!P31*'Sch AL-TOU Cust Fcst'!$I$41+'Sch DG-R TSM Summary'!L31*'Sch DG-R Cust Fcst'!$H$41+'Sch A6-TOU TSM Summary'!L31*'Sch A6-TOU Cust Fcst '!$D$41)/('Sch OL-TOU Cust Fcst'!$H$41+'Sch AL-TOU Cust Fcst'!$I$41+'Sch DG-R Cust Fcst'!$H$41+'Sch A6-TOU Cust Fcst '!$D$41)</f>
        <v>447.86258547437507</v>
      </c>
      <c r="Q31" s="49">
        <f>('Sch OL-TOU TSM Summary'!E31*'Sch OL-TOU Cust Fcst'!$H$38+'Sch AL-TOU TSM Summary'!Q31*'Sch AL-TOU Cust Fcst'!$I$38+'Sch DG-R TSM Summary'!M31*'Sch DG-R Cust Fcst'!$H$38+'Sch A6-TOU TSM Summary'!M31*'Sch A6-TOU Cust Fcst '!$D$38)/('Sch OL-TOU Cust Fcst'!$H$38+'Sch AL-TOU Cust Fcst'!$I$38+'Sch DG-R Cust Fcst'!$H$38+'Sch A6-TOU Cust Fcst '!$D$38)</f>
        <v>447.86258547437501</v>
      </c>
    </row>
    <row r="32" spans="1:17" ht="13.5" thickBot="1">
      <c r="A32" s="146"/>
      <c r="B32" s="144"/>
      <c r="C32" s="115"/>
      <c r="D32" s="115"/>
      <c r="E32" s="116"/>
      <c r="F32" s="144"/>
      <c r="G32" s="115"/>
      <c r="H32" s="115"/>
      <c r="I32" s="116"/>
      <c r="J32" s="144"/>
      <c r="K32" s="115"/>
      <c r="L32" s="115"/>
      <c r="M32" s="116"/>
      <c r="N32" s="144"/>
      <c r="O32" s="115"/>
      <c r="P32" s="115"/>
      <c r="Q32" s="116"/>
    </row>
    <row r="33" spans="1:17" ht="13.5" thickBot="1">
      <c r="A33" s="521" t="s">
        <v>165</v>
      </c>
      <c r="B33" s="371">
        <f t="shared" ref="B33:Q33" si="8">B27+B29+B31</f>
        <v>1677.508536912374</v>
      </c>
      <c r="C33" s="372">
        <f>C27+C29+C31</f>
        <v>4019.8389747037136</v>
      </c>
      <c r="D33" s="372"/>
      <c r="E33" s="383">
        <f t="shared" si="8"/>
        <v>1741.3434182221531</v>
      </c>
      <c r="F33" s="371">
        <f t="shared" si="8"/>
        <v>834.12720002775177</v>
      </c>
      <c r="G33" s="372">
        <f t="shared" si="8"/>
        <v>923.03494645565888</v>
      </c>
      <c r="H33" s="372">
        <f t="shared" si="8"/>
        <v>1179.3005880669596</v>
      </c>
      <c r="I33" s="383">
        <f t="shared" si="8"/>
        <v>886.26871010693969</v>
      </c>
      <c r="J33" s="371">
        <f t="shared" si="8"/>
        <v>5819.690594703492</v>
      </c>
      <c r="K33" s="372">
        <f t="shared" si="8"/>
        <v>8646.2884070293567</v>
      </c>
      <c r="L33" s="372">
        <f t="shared" si="8"/>
        <v>12432.86839153351</v>
      </c>
      <c r="M33" s="383">
        <f t="shared" si="8"/>
        <v>8460.6938170987778</v>
      </c>
      <c r="N33" s="371">
        <f t="shared" si="8"/>
        <v>1670.9251193096056</v>
      </c>
      <c r="O33" s="372">
        <f t="shared" si="8"/>
        <v>3230.3478914919829</v>
      </c>
      <c r="P33" s="372">
        <f t="shared" si="8"/>
        <v>7240.5740873048444</v>
      </c>
      <c r="Q33" s="383">
        <f t="shared" si="8"/>
        <v>1733.3400184651559</v>
      </c>
    </row>
    <row r="34" spans="1:17"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</row>
    <row r="36" spans="1:17">
      <c r="A36" t="s">
        <v>3</v>
      </c>
    </row>
    <row r="44" spans="1:17">
      <c r="A44" s="19"/>
    </row>
    <row r="56" spans="1:1">
      <c r="A56" s="19"/>
    </row>
  </sheetData>
  <mergeCells count="5">
    <mergeCell ref="A1:Q1"/>
    <mergeCell ref="B2:E2"/>
    <mergeCell ref="F2:I2"/>
    <mergeCell ref="J2:M2"/>
    <mergeCell ref="N2:Q2"/>
  </mergeCells>
  <printOptions horizontalCentered="1"/>
  <pageMargins left="0.75" right="0.75" top="1" bottom="1" header="0.5" footer="0.5"/>
  <pageSetup scale="55" orientation="portrait" r:id="rId1"/>
  <headerFooter alignWithMargins="0">
    <oddFooter>&amp;L&amp;F
&amp;A&amp;R&amp;P of &amp;N</oddFooter>
  </headerFooter>
  <colBreaks count="1" manualBreakCount="1">
    <brk id="9" max="29" man="1"/>
  </colBreak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Sheet72">
    <tabColor rgb="FFFFC000"/>
  </sheetPr>
  <dimension ref="A1:Q58"/>
  <sheetViews>
    <sheetView zoomScaleNormal="100" workbookViewId="0">
      <selection activeCell="J9" sqref="J9"/>
    </sheetView>
  </sheetViews>
  <sheetFormatPr defaultRowHeight="12.75"/>
  <cols>
    <col min="1" max="1" width="40.7109375" customWidth="1"/>
    <col min="2" max="2" width="10.28515625" style="12" customWidth="1"/>
    <col min="3" max="3" width="17.140625" style="12" bestFit="1" customWidth="1"/>
    <col min="4" max="4" width="8.7109375" style="12" bestFit="1" customWidth="1"/>
    <col min="5" max="5" width="14.7109375" style="12" bestFit="1" customWidth="1"/>
    <col min="6" max="6" width="14" style="12" bestFit="1" customWidth="1"/>
    <col min="7" max="7" width="17.140625" style="12" bestFit="1" customWidth="1"/>
    <col min="8" max="8" width="14.85546875" style="12" bestFit="1" customWidth="1"/>
    <col min="9" max="9" width="14" style="12" bestFit="1" customWidth="1"/>
    <col min="10" max="10" width="15.140625" style="12" bestFit="1" customWidth="1"/>
    <col min="11" max="11" width="17.140625" style="12" bestFit="1" customWidth="1"/>
    <col min="12" max="12" width="16.28515625" style="12" bestFit="1" customWidth="1"/>
    <col min="13" max="13" width="14.85546875" style="12" bestFit="1" customWidth="1"/>
    <col min="14" max="14" width="14.7109375" bestFit="1" customWidth="1"/>
    <col min="15" max="15" width="17.140625" bestFit="1" customWidth="1"/>
    <col min="16" max="16" width="16.5703125" bestFit="1" customWidth="1"/>
    <col min="17" max="17" width="14.7109375" bestFit="1" customWidth="1"/>
  </cols>
  <sheetData>
    <row r="1" spans="1:17" ht="18.75" thickBot="1">
      <c r="A1" s="826" t="s">
        <v>430</v>
      </c>
      <c r="B1" s="826"/>
      <c r="C1" s="826"/>
      <c r="D1" s="826"/>
      <c r="E1" s="826"/>
      <c r="F1" s="826"/>
      <c r="G1" s="826"/>
      <c r="H1" s="826"/>
      <c r="I1" s="826"/>
      <c r="J1" s="826"/>
      <c r="K1" s="826"/>
      <c r="L1" s="826"/>
      <c r="M1" s="826"/>
      <c r="N1" s="845"/>
      <c r="O1" s="845"/>
      <c r="P1" s="845"/>
      <c r="Q1" s="845"/>
    </row>
    <row r="2" spans="1:17" ht="13.5" thickBot="1">
      <c r="A2" s="131"/>
      <c r="B2" s="836" t="s">
        <v>0</v>
      </c>
      <c r="C2" s="830"/>
      <c r="D2" s="830"/>
      <c r="E2" s="831"/>
      <c r="F2" s="827" t="s">
        <v>1</v>
      </c>
      <c r="G2" s="828"/>
      <c r="H2" s="828"/>
      <c r="I2" s="829"/>
      <c r="J2" s="827" t="s">
        <v>99</v>
      </c>
      <c r="K2" s="828"/>
      <c r="L2" s="828"/>
      <c r="M2" s="829"/>
      <c r="N2" s="827" t="s">
        <v>246</v>
      </c>
      <c r="O2" s="828"/>
      <c r="P2" s="828"/>
      <c r="Q2" s="829"/>
    </row>
    <row r="3" spans="1:17" ht="13.5" thickBot="1">
      <c r="A3" s="102" t="s">
        <v>47</v>
      </c>
      <c r="B3" s="402" t="s">
        <v>189</v>
      </c>
      <c r="C3" s="403" t="s">
        <v>139</v>
      </c>
      <c r="D3" s="403" t="s">
        <v>100</v>
      </c>
      <c r="E3" s="613" t="s">
        <v>2</v>
      </c>
      <c r="F3" s="402" t="s">
        <v>189</v>
      </c>
      <c r="G3" s="403" t="s">
        <v>139</v>
      </c>
      <c r="H3" s="403" t="s">
        <v>100</v>
      </c>
      <c r="I3" s="613" t="s">
        <v>2</v>
      </c>
      <c r="J3" s="402" t="s">
        <v>189</v>
      </c>
      <c r="K3" s="403" t="s">
        <v>139</v>
      </c>
      <c r="L3" s="403" t="s">
        <v>100</v>
      </c>
      <c r="M3" s="613" t="s">
        <v>2</v>
      </c>
      <c r="N3" s="402" t="s">
        <v>189</v>
      </c>
      <c r="O3" s="403" t="s">
        <v>139</v>
      </c>
      <c r="P3" s="403" t="s">
        <v>100</v>
      </c>
      <c r="Q3" s="613" t="s">
        <v>2</v>
      </c>
    </row>
    <row r="4" spans="1:17">
      <c r="A4" s="516"/>
      <c r="B4" s="5"/>
      <c r="C4" s="6"/>
      <c r="D4" s="6"/>
      <c r="E4" s="7"/>
      <c r="F4" s="5"/>
      <c r="G4" s="6"/>
      <c r="H4" s="6"/>
      <c r="I4" s="7"/>
      <c r="J4" s="5"/>
      <c r="K4" s="6"/>
      <c r="L4" s="6"/>
      <c r="M4" s="7"/>
      <c r="N4" s="5"/>
      <c r="O4" s="6"/>
      <c r="P4" s="6"/>
      <c r="Q4" s="7"/>
    </row>
    <row r="5" spans="1:17">
      <c r="A5" s="145"/>
      <c r="B5" s="132"/>
      <c r="C5" s="8"/>
      <c r="D5" s="8"/>
      <c r="E5" s="9"/>
      <c r="F5" s="132"/>
      <c r="G5" s="8"/>
      <c r="H5" s="8"/>
      <c r="I5" s="9"/>
      <c r="J5" s="132"/>
      <c r="K5" s="8"/>
      <c r="L5" s="8"/>
      <c r="M5" s="9"/>
      <c r="N5" s="132"/>
      <c r="O5" s="8"/>
      <c r="P5" s="8"/>
      <c r="Q5" s="9"/>
    </row>
    <row r="6" spans="1:17">
      <c r="A6" s="145" t="s">
        <v>49</v>
      </c>
      <c r="B6" s="142"/>
      <c r="C6" s="34"/>
      <c r="D6" s="34"/>
      <c r="E6" s="44"/>
      <c r="F6" s="142"/>
      <c r="G6" s="34"/>
      <c r="H6" s="34"/>
      <c r="I6" s="44"/>
      <c r="J6" s="142"/>
      <c r="K6" s="34"/>
      <c r="L6" s="34"/>
      <c r="M6" s="44"/>
      <c r="N6" s="142"/>
      <c r="O6" s="34"/>
      <c r="P6" s="34"/>
      <c r="Q6" s="44"/>
    </row>
    <row r="7" spans="1:17">
      <c r="A7" s="517"/>
      <c r="B7" s="142"/>
      <c r="C7" s="34"/>
      <c r="D7" s="34"/>
      <c r="E7" s="44"/>
      <c r="F7" s="142"/>
      <c r="G7" s="34"/>
      <c r="H7" s="34"/>
      <c r="I7" s="44"/>
      <c r="J7" s="142"/>
      <c r="K7" s="34"/>
      <c r="L7" s="34"/>
      <c r="M7" s="44"/>
      <c r="N7" s="142"/>
      <c r="O7" s="34"/>
      <c r="P7" s="34"/>
      <c r="Q7" s="44"/>
    </row>
    <row r="8" spans="1:17">
      <c r="A8" s="145" t="s">
        <v>53</v>
      </c>
      <c r="B8" s="143">
        <f>'M-L C&amp;I TSM Summary'!B8*Inputs!$C$12</f>
        <v>12141.748476159441</v>
      </c>
      <c r="C8" s="163">
        <f>'M-L C&amp;I TSM Summary'!C8*Inputs!$C$12</f>
        <v>34750.89869098374</v>
      </c>
      <c r="D8" s="163"/>
      <c r="E8" s="49">
        <f>'M-L C&amp;I TSM Summary'!E8*Inputs!$C$12</f>
        <v>12757.909371818199</v>
      </c>
      <c r="F8" s="143">
        <f>'M-L C&amp;I TSM Summary'!F8*Inputs!$C$12</f>
        <v>0</v>
      </c>
      <c r="G8" s="163">
        <f>'M-L C&amp;I TSM Summary'!G8*Inputs!$C$12</f>
        <v>0</v>
      </c>
      <c r="H8" s="163">
        <f>'M-L C&amp;I TSM Summary'!H8*Inputs!$C$12</f>
        <v>0</v>
      </c>
      <c r="I8" s="49">
        <f>'M-L C&amp;I TSM Summary'!I8*Inputs!$C$12</f>
        <v>0</v>
      </c>
      <c r="J8" s="143">
        <f>'M-L C&amp;I TSM Summary'!J8*Inputs!$C$12</f>
        <v>0</v>
      </c>
      <c r="K8" s="163">
        <f>'M-L C&amp;I TSM Summary'!K8*Inputs!$C$12</f>
        <v>0</v>
      </c>
      <c r="L8" s="163">
        <f>'M-L C&amp;I TSM Summary'!L8*Inputs!$C$12</f>
        <v>0</v>
      </c>
      <c r="M8" s="49">
        <f>'M-L C&amp;I TSM Summary'!M8*Inputs!$C$12</f>
        <v>0</v>
      </c>
      <c r="N8" s="143">
        <f>'M-L C&amp;I TSM Summary'!N8*Inputs!$C$12</f>
        <v>12025.262465042153</v>
      </c>
      <c r="O8" s="163">
        <f>'M-L C&amp;I TSM Summary'!O8*Inputs!$C$12</f>
        <v>23978.120096778781</v>
      </c>
      <c r="P8" s="163">
        <f>'M-L C&amp;I TSM Summary'!P8*Inputs!$C$12</f>
        <v>0</v>
      </c>
      <c r="Q8" s="49">
        <f>'M-L C&amp;I TSM Summary'!Q8*Inputs!$C$12</f>
        <v>12482.523340881857</v>
      </c>
    </row>
    <row r="9" spans="1:17">
      <c r="A9" s="145" t="s">
        <v>51</v>
      </c>
      <c r="B9" s="143">
        <f>'M-L C&amp;I TSM Summary'!B9*Inputs!$C$12</f>
        <v>1493.1150761089202</v>
      </c>
      <c r="C9" s="163">
        <f>'M-L C&amp;I TSM Summary'!C9*Inputs!$C$12</f>
        <v>9478.533903872054</v>
      </c>
      <c r="D9" s="163"/>
      <c r="E9" s="49">
        <f>'M-L C&amp;I TSM Summary'!E9*Inputs!$C$12</f>
        <v>1710.739479077356</v>
      </c>
      <c r="F9" s="143">
        <f>'M-L C&amp;I TSM Summary'!F9*Inputs!$C$12</f>
        <v>3396.4220443713425</v>
      </c>
      <c r="G9" s="163">
        <f>'M-L C&amp;I TSM Summary'!G9*Inputs!$C$12</f>
        <v>4662.2081959829256</v>
      </c>
      <c r="H9" s="163">
        <f>'M-L C&amp;I TSM Summary'!H9*Inputs!$C$12</f>
        <v>8434.7473145115619</v>
      </c>
      <c r="I9" s="49">
        <f>'M-L C&amp;I TSM Summary'!I9*Inputs!$C$12</f>
        <v>4139.7815104576048</v>
      </c>
      <c r="J9" s="143">
        <f>'M-L C&amp;I TSM Summary'!J9*Inputs!$C$12</f>
        <v>63938.271373770483</v>
      </c>
      <c r="K9" s="163">
        <f>'M-L C&amp;I TSM Summary'!K9*Inputs!$C$12</f>
        <v>104587.15812026567</v>
      </c>
      <c r="L9" s="163">
        <f>'M-L C&amp;I TSM Summary'!L9*Inputs!$C$12</f>
        <v>158785.67378225925</v>
      </c>
      <c r="M9" s="49">
        <f>'M-L C&amp;I TSM Summary'!M9*Inputs!$C$12</f>
        <v>101877.232337166</v>
      </c>
      <c r="N9" s="143">
        <f>'M-L C&amp;I TSM Summary'!N9*Inputs!$C$12</f>
        <v>1535.7212235786519</v>
      </c>
      <c r="O9" s="163">
        <f>'M-L C&amp;I TSM Summary'!O9*Inputs!$C$12</f>
        <v>9983.9719329120835</v>
      </c>
      <c r="P9" s="163">
        <f>'M-L C&amp;I TSM Summary'!P9*Inputs!$C$12</f>
        <v>94349.56243893881</v>
      </c>
      <c r="Q9" s="49">
        <f>'M-L C&amp;I TSM Summary'!Q9*Inputs!$C$12</f>
        <v>1898.0637423509229</v>
      </c>
    </row>
    <row r="10" spans="1:17">
      <c r="A10" s="145" t="s">
        <v>52</v>
      </c>
      <c r="B10" s="143">
        <f>'M-L C&amp;I TSM Summary'!B10*Inputs!$C$12</f>
        <v>458.81454599548113</v>
      </c>
      <c r="C10" s="163">
        <f>'M-L C&amp;I TSM Summary'!C10*Inputs!$C$12</f>
        <v>939.3830102866084</v>
      </c>
      <c r="D10" s="163"/>
      <c r="E10" s="49">
        <f>'M-L C&amp;I TSM Summary'!E10*Inputs!$C$12</f>
        <v>471.91134497153553</v>
      </c>
      <c r="F10" s="143">
        <f>'M-L C&amp;I TSM Summary'!F10*Inputs!$C$12</f>
        <v>1028.0573267477946</v>
      </c>
      <c r="G10" s="163">
        <f>'M-L C&amp;I TSM Summary'!G10*Inputs!$C$12</f>
        <v>1050.2259058630916</v>
      </c>
      <c r="H10" s="163">
        <f>'M-L C&amp;I TSM Summary'!H10*Inputs!$C$12</f>
        <v>1050.2259058630914</v>
      </c>
      <c r="I10" s="49">
        <f>'M-L C&amp;I TSM Summary'!I10*Inputs!$C$12</f>
        <v>1040.5347237361857</v>
      </c>
      <c r="J10" s="143">
        <f>'M-L C&amp;I TSM Summary'!J10*Inputs!$C$12</f>
        <v>1050.2259058630914</v>
      </c>
      <c r="K10" s="163">
        <f>'M-L C&amp;I TSM Summary'!K10*Inputs!$C$12</f>
        <v>1050.2259058630914</v>
      </c>
      <c r="L10" s="163">
        <f>'M-L C&amp;I TSM Summary'!L10*Inputs!$C$12</f>
        <v>1050.2259058630914</v>
      </c>
      <c r="M10" s="49">
        <f>'M-L C&amp;I TSM Summary'!M10*Inputs!$C$12</f>
        <v>1050.2259058630916</v>
      </c>
      <c r="N10" s="143">
        <f>'M-L C&amp;I TSM Summary'!N10*Inputs!$C$12</f>
        <v>464.28468584953089</v>
      </c>
      <c r="O10" s="163">
        <f>'M-L C&amp;I TSM Summary'!O10*Inputs!$C$12</f>
        <v>973.74430791531779</v>
      </c>
      <c r="P10" s="163">
        <f>'M-L C&amp;I TSM Summary'!P10*Inputs!$C$12</f>
        <v>1050.2259058630914</v>
      </c>
      <c r="Q10" s="49">
        <f>'M-L C&amp;I TSM Summary'!Q10*Inputs!$C$12</f>
        <v>484.1987481210416</v>
      </c>
    </row>
    <row r="11" spans="1:17">
      <c r="A11" s="518"/>
      <c r="B11" s="142"/>
      <c r="C11" s="34"/>
      <c r="D11" s="34"/>
      <c r="E11" s="49"/>
      <c r="F11" s="142"/>
      <c r="G11" s="34"/>
      <c r="H11" s="34"/>
      <c r="I11" s="44"/>
      <c r="J11" s="142"/>
      <c r="K11" s="34"/>
      <c r="L11" s="34"/>
      <c r="M11" s="44"/>
      <c r="N11" s="142"/>
      <c r="O11" s="34"/>
      <c r="P11" s="34"/>
      <c r="Q11" s="44"/>
    </row>
    <row r="12" spans="1:17">
      <c r="A12" s="145" t="s">
        <v>35</v>
      </c>
      <c r="B12" s="142">
        <f t="shared" ref="B12:I12" si="0">SUM(B8:B10)</f>
        <v>14093.678098263843</v>
      </c>
      <c r="C12" s="34">
        <f t="shared" si="0"/>
        <v>45168.815605142401</v>
      </c>
      <c r="D12" s="34"/>
      <c r="E12" s="44">
        <f t="shared" si="0"/>
        <v>14940.56019586709</v>
      </c>
      <c r="F12" s="142">
        <f t="shared" si="0"/>
        <v>4424.4793711191369</v>
      </c>
      <c r="G12" s="34">
        <f t="shared" si="0"/>
        <v>5712.4341018460173</v>
      </c>
      <c r="H12" s="34">
        <f t="shared" si="0"/>
        <v>9484.9732203746535</v>
      </c>
      <c r="I12" s="44">
        <f t="shared" si="0"/>
        <v>5180.3162341937905</v>
      </c>
      <c r="J12" s="142">
        <f t="shared" ref="J12:Q12" si="1">SUM(J8:J10)</f>
        <v>64988.497279633571</v>
      </c>
      <c r="K12" s="34">
        <f t="shared" si="1"/>
        <v>105637.38402612876</v>
      </c>
      <c r="L12" s="34">
        <f t="shared" si="1"/>
        <v>159835.89968812236</v>
      </c>
      <c r="M12" s="44">
        <f t="shared" si="1"/>
        <v>102927.45824302909</v>
      </c>
      <c r="N12" s="142">
        <f t="shared" si="1"/>
        <v>14025.268374470335</v>
      </c>
      <c r="O12" s="34">
        <f t="shared" si="1"/>
        <v>34935.836337606182</v>
      </c>
      <c r="P12" s="34">
        <f t="shared" si="1"/>
        <v>95399.788344801898</v>
      </c>
      <c r="Q12" s="44">
        <f t="shared" si="1"/>
        <v>14864.785831353822</v>
      </c>
    </row>
    <row r="13" spans="1:17">
      <c r="A13" s="518"/>
      <c r="B13" s="142"/>
      <c r="C13" s="34"/>
      <c r="D13" s="34"/>
      <c r="E13" s="44"/>
      <c r="F13" s="142"/>
      <c r="G13" s="34"/>
      <c r="H13" s="34"/>
      <c r="I13" s="44"/>
      <c r="J13" s="142"/>
      <c r="K13" s="34"/>
      <c r="L13" s="34"/>
      <c r="M13" s="44"/>
      <c r="N13" s="142"/>
      <c r="O13" s="34"/>
      <c r="P13" s="34"/>
      <c r="Q13" s="44"/>
    </row>
    <row r="14" spans="1:17">
      <c r="A14" s="145" t="s">
        <v>65</v>
      </c>
      <c r="B14" s="142"/>
      <c r="C14" s="34"/>
      <c r="D14" s="34"/>
      <c r="E14" s="44"/>
      <c r="F14" s="142"/>
      <c r="G14" s="34"/>
      <c r="H14" s="34"/>
      <c r="I14" s="44"/>
      <c r="J14" s="142"/>
      <c r="K14" s="34"/>
      <c r="L14" s="34"/>
      <c r="M14" s="44"/>
      <c r="N14" s="142"/>
      <c r="O14" s="34"/>
      <c r="P14" s="34"/>
      <c r="Q14" s="44"/>
    </row>
    <row r="15" spans="1:17">
      <c r="A15" s="519">
        <f>Inputs!C3</f>
        <v>2.7723662892949787E-2</v>
      </c>
      <c r="B15" s="142"/>
      <c r="C15" s="34"/>
      <c r="D15" s="34"/>
      <c r="E15" s="44"/>
      <c r="F15" s="142"/>
      <c r="G15" s="34"/>
      <c r="H15" s="34"/>
      <c r="I15" s="44"/>
      <c r="J15" s="142"/>
      <c r="K15" s="34"/>
      <c r="L15" s="34"/>
      <c r="M15" s="44"/>
      <c r="N15" s="142"/>
      <c r="O15" s="34"/>
      <c r="P15" s="34"/>
      <c r="Q15" s="44"/>
    </row>
    <row r="16" spans="1:17">
      <c r="A16" s="40" t="s">
        <v>64</v>
      </c>
      <c r="B16" s="142"/>
      <c r="C16" s="34"/>
      <c r="D16" s="34"/>
      <c r="E16" s="44"/>
      <c r="F16" s="142"/>
      <c r="G16" s="34"/>
      <c r="H16" s="34"/>
      <c r="I16" s="44"/>
      <c r="J16" s="142"/>
      <c r="K16" s="34"/>
      <c r="L16" s="34"/>
      <c r="M16" s="44"/>
      <c r="N16" s="142"/>
      <c r="O16" s="34"/>
      <c r="P16" s="34"/>
      <c r="Q16" s="44"/>
    </row>
    <row r="17" spans="1:17">
      <c r="A17" s="53">
        <f>Inputs!C4</f>
        <v>1.5023E-2</v>
      </c>
      <c r="B17" s="142"/>
      <c r="C17" s="34"/>
      <c r="D17" s="34"/>
      <c r="E17" s="44"/>
      <c r="F17" s="142"/>
      <c r="G17" s="34"/>
      <c r="H17" s="34"/>
      <c r="I17" s="44"/>
      <c r="J17" s="142"/>
      <c r="K17" s="34"/>
      <c r="L17" s="34"/>
      <c r="M17" s="44"/>
      <c r="N17" s="142"/>
      <c r="O17" s="34"/>
      <c r="P17" s="34"/>
      <c r="Q17" s="44"/>
    </row>
    <row r="18" spans="1:17">
      <c r="A18" s="520" t="s">
        <v>111</v>
      </c>
      <c r="B18" s="142">
        <f>(B8*(1+$A$15)*(1+$A$17))</f>
        <v>12665.824653442136</v>
      </c>
      <c r="C18" s="34">
        <f t="shared" ref="C18:E18" si="2">(C8*(1+$A$15)*(1+$A$17))</f>
        <v>36250.857134272919</v>
      </c>
      <c r="D18" s="34"/>
      <c r="E18" s="44">
        <f t="shared" si="2"/>
        <v>13308.580997641271</v>
      </c>
      <c r="F18" s="142">
        <f t="shared" ref="F18:Q18" si="3">(F8*(1+$A$15)*(1+$A$17))</f>
        <v>0</v>
      </c>
      <c r="G18" s="34">
        <f t="shared" si="3"/>
        <v>0</v>
      </c>
      <c r="H18" s="34">
        <f t="shared" si="3"/>
        <v>0</v>
      </c>
      <c r="I18" s="44">
        <f t="shared" si="3"/>
        <v>0</v>
      </c>
      <c r="J18" s="142">
        <f t="shared" si="3"/>
        <v>0</v>
      </c>
      <c r="K18" s="34">
        <f t="shared" si="3"/>
        <v>0</v>
      </c>
      <c r="L18" s="34">
        <f t="shared" si="3"/>
        <v>0</v>
      </c>
      <c r="M18" s="44">
        <f t="shared" si="3"/>
        <v>0</v>
      </c>
      <c r="N18" s="142">
        <f t="shared" si="3"/>
        <v>12544.310738515678</v>
      </c>
      <c r="O18" s="34">
        <f t="shared" si="3"/>
        <v>25013.091422648318</v>
      </c>
      <c r="P18" s="34">
        <f t="shared" si="3"/>
        <v>0</v>
      </c>
      <c r="Q18" s="44">
        <f t="shared" si="3"/>
        <v>13021.308436634441</v>
      </c>
    </row>
    <row r="19" spans="1:17">
      <c r="A19" s="520" t="s">
        <v>51</v>
      </c>
      <c r="B19" s="142">
        <f t="shared" ref="B19:E20" si="4">(B9*(1+$A$15)*(1+$A$17))</f>
        <v>1557.5626342894234</v>
      </c>
      <c r="C19" s="34">
        <f t="shared" si="4"/>
        <v>9887.6573364929318</v>
      </c>
      <c r="D19" s="34"/>
      <c r="E19" s="44">
        <f t="shared" si="4"/>
        <v>1784.5803931995565</v>
      </c>
      <c r="F19" s="142">
        <f t="shared" ref="F19:Q19" si="5">(F9*(1+$A$15)*(1+$A$17))</f>
        <v>3543.0223371502479</v>
      </c>
      <c r="G19" s="34">
        <f t="shared" si="5"/>
        <v>4863.4438132290206</v>
      </c>
      <c r="H19" s="34">
        <f t="shared" si="5"/>
        <v>8798.8176242873196</v>
      </c>
      <c r="I19" s="44">
        <f t="shared" si="5"/>
        <v>4318.467543449161</v>
      </c>
      <c r="J19" s="142">
        <f t="shared" si="5"/>
        <v>66698.048922236732</v>
      </c>
      <c r="K19" s="34">
        <f t="shared" si="5"/>
        <v>109101.46988748381</v>
      </c>
      <c r="L19" s="34">
        <f t="shared" si="5"/>
        <v>165639.36450781324</v>
      </c>
      <c r="M19" s="44">
        <f t="shared" si="5"/>
        <v>106274.57515646736</v>
      </c>
      <c r="N19" s="142">
        <f t="shared" si="5"/>
        <v>1602.0077975268202</v>
      </c>
      <c r="O19" s="34">
        <f t="shared" si="5"/>
        <v>10414.911665766222</v>
      </c>
      <c r="P19" s="34">
        <f t="shared" si="5"/>
        <v>98421.987272016413</v>
      </c>
      <c r="Q19" s="44">
        <f t="shared" si="5"/>
        <v>1979.9901627740876</v>
      </c>
    </row>
    <row r="20" spans="1:17">
      <c r="A20" s="520" t="s">
        <v>52</v>
      </c>
      <c r="B20" s="142">
        <f t="shared" si="4"/>
        <v>478.61842958104069</v>
      </c>
      <c r="C20" s="34">
        <f t="shared" si="4"/>
        <v>979.92974521543454</v>
      </c>
      <c r="D20" s="34"/>
      <c r="E20" s="44">
        <f t="shared" si="4"/>
        <v>492.28052772759656</v>
      </c>
      <c r="F20" s="142">
        <f t="shared" ref="F20:Q20" si="6">(F10*(1+$A$15)*(1+$A$17))</f>
        <v>1072.43152498517</v>
      </c>
      <c r="G20" s="34">
        <f t="shared" si="6"/>
        <v>1095.5569699276043</v>
      </c>
      <c r="H20" s="34">
        <f t="shared" si="6"/>
        <v>1095.5569699276041</v>
      </c>
      <c r="I20" s="44">
        <f t="shared" si="6"/>
        <v>1085.4474857997641</v>
      </c>
      <c r="J20" s="142">
        <f t="shared" si="6"/>
        <v>1095.5569699276041</v>
      </c>
      <c r="K20" s="34">
        <f t="shared" si="6"/>
        <v>1095.5569699276041</v>
      </c>
      <c r="L20" s="34">
        <f t="shared" si="6"/>
        <v>1095.5569699276041</v>
      </c>
      <c r="M20" s="44">
        <f t="shared" si="6"/>
        <v>1095.5569699276043</v>
      </c>
      <c r="N20" s="142">
        <f t="shared" si="6"/>
        <v>484.32467793211134</v>
      </c>
      <c r="O20" s="34">
        <f t="shared" si="6"/>
        <v>1015.7741848762067</v>
      </c>
      <c r="P20" s="34">
        <f t="shared" si="6"/>
        <v>1095.5569699276041</v>
      </c>
      <c r="Q20" s="44">
        <f t="shared" si="6"/>
        <v>505.09829396969747</v>
      </c>
    </row>
    <row r="21" spans="1:17">
      <c r="A21" s="145"/>
      <c r="B21" s="147"/>
      <c r="C21" s="97"/>
      <c r="D21" s="97"/>
      <c r="E21" s="99"/>
      <c r="F21" s="147"/>
      <c r="G21" s="97"/>
      <c r="H21" s="97"/>
      <c r="I21" s="99"/>
      <c r="J21" s="147"/>
      <c r="K21" s="97"/>
      <c r="L21" s="97"/>
      <c r="M21" s="99"/>
      <c r="N21" s="147"/>
      <c r="O21" s="97"/>
      <c r="P21" s="97"/>
      <c r="Q21" s="99"/>
    </row>
    <row r="22" spans="1:17">
      <c r="A22" s="145" t="s">
        <v>35</v>
      </c>
      <c r="B22" s="147">
        <f t="shared" ref="B22:Q22" si="7">B18+B19+B20</f>
        <v>14702.005717312599</v>
      </c>
      <c r="C22" s="97">
        <f t="shared" si="7"/>
        <v>47118.444215981282</v>
      </c>
      <c r="D22" s="97"/>
      <c r="E22" s="99">
        <f t="shared" si="7"/>
        <v>15585.441918568424</v>
      </c>
      <c r="F22" s="147">
        <f t="shared" si="7"/>
        <v>4615.4538621354177</v>
      </c>
      <c r="G22" s="97">
        <f t="shared" si="7"/>
        <v>5959.0007831566254</v>
      </c>
      <c r="H22" s="97">
        <f t="shared" si="7"/>
        <v>9894.3745942149235</v>
      </c>
      <c r="I22" s="99">
        <f t="shared" si="7"/>
        <v>5403.9150292489248</v>
      </c>
      <c r="J22" s="147">
        <f t="shared" si="7"/>
        <v>67793.605892164342</v>
      </c>
      <c r="K22" s="97">
        <f t="shared" si="7"/>
        <v>110197.02685741142</v>
      </c>
      <c r="L22" s="97">
        <f t="shared" si="7"/>
        <v>166734.92147774083</v>
      </c>
      <c r="M22" s="99">
        <f t="shared" si="7"/>
        <v>107370.13212639496</v>
      </c>
      <c r="N22" s="147">
        <f t="shared" si="7"/>
        <v>14630.643213974608</v>
      </c>
      <c r="O22" s="97">
        <f t="shared" si="7"/>
        <v>36443.777273290747</v>
      </c>
      <c r="P22" s="97">
        <f t="shared" si="7"/>
        <v>99517.544241944022</v>
      </c>
      <c r="Q22" s="99">
        <f t="shared" si="7"/>
        <v>15506.396893378225</v>
      </c>
    </row>
    <row r="23" spans="1:17">
      <c r="A23" s="145"/>
      <c r="B23" s="142"/>
      <c r="C23" s="34"/>
      <c r="D23" s="34"/>
      <c r="E23" s="44"/>
      <c r="F23" s="142"/>
      <c r="G23" s="34"/>
      <c r="H23" s="34"/>
      <c r="I23" s="44"/>
      <c r="J23" s="142"/>
      <c r="K23" s="34"/>
      <c r="L23" s="34"/>
      <c r="M23" s="44"/>
      <c r="N23" s="142"/>
      <c r="O23" s="34"/>
      <c r="P23" s="34"/>
      <c r="Q23" s="44"/>
    </row>
    <row r="24" spans="1:17">
      <c r="A24" s="806" t="str">
        <f>'Resid TSM Sum by Rate Schedule'!A25</f>
        <v>Annualized Transformer Cost at 8.05%</v>
      </c>
      <c r="B24" s="147">
        <f>B18*Inputs!$C$5</f>
        <v>1019.3286279932296</v>
      </c>
      <c r="C24" s="97">
        <f>C18*Inputs!$C$5</f>
        <v>2917.4204978603452</v>
      </c>
      <c r="D24" s="97"/>
      <c r="E24" s="99">
        <f>E18*Inputs!$C$5</f>
        <v>1071.056798909317</v>
      </c>
      <c r="F24" s="147">
        <f>F18*Inputs!$C$5</f>
        <v>0</v>
      </c>
      <c r="G24" s="97">
        <f>G18*Inputs!$C$5</f>
        <v>0</v>
      </c>
      <c r="H24" s="97">
        <f>H18*Inputs!$C$5</f>
        <v>0</v>
      </c>
      <c r="I24" s="99">
        <f>I18*Inputs!$C$5</f>
        <v>0</v>
      </c>
      <c r="J24" s="147">
        <f>J18*Inputs!$C$5</f>
        <v>0</v>
      </c>
      <c r="K24" s="97">
        <f>K18*Inputs!$C$5</f>
        <v>0</v>
      </c>
      <c r="L24" s="97">
        <f>L18*Inputs!$C$5</f>
        <v>0</v>
      </c>
      <c r="M24" s="99">
        <f>M18*Inputs!$C$5</f>
        <v>0</v>
      </c>
      <c r="N24" s="147">
        <f>N18*Inputs!$C$5</f>
        <v>1009.5493506407352</v>
      </c>
      <c r="O24" s="97">
        <f>O18*Inputs!$C$5</f>
        <v>2013.0201435236386</v>
      </c>
      <c r="P24" s="97">
        <f>P18*Inputs!$C$5</f>
        <v>0</v>
      </c>
      <c r="Q24" s="99">
        <f>Q18*Inputs!$C$5</f>
        <v>1047.9374874169055</v>
      </c>
    </row>
    <row r="25" spans="1:17">
      <c r="A25" s="806" t="str">
        <f>'Resid TSM Sum by Rate Schedule'!A26</f>
        <v>Annualized Services Cost at 7.08%</v>
      </c>
      <c r="B25" s="147">
        <f>B19*Inputs!$C$6</f>
        <v>110.23658880484008</v>
      </c>
      <c r="C25" s="97">
        <f>C19*Inputs!$C$6</f>
        <v>699.79954067361973</v>
      </c>
      <c r="D25" s="97"/>
      <c r="E25" s="99">
        <f>E19*Inputs!$C$6</f>
        <v>126.30378429954303</v>
      </c>
      <c r="F25" s="147">
        <f>F19*Inputs!$C$6</f>
        <v>250.75761828671364</v>
      </c>
      <c r="G25" s="97">
        <f>G19*Inputs!$C$6</f>
        <v>344.21052740454252</v>
      </c>
      <c r="H25" s="97">
        <f>H19*Inputs!$C$6</f>
        <v>622.7368447753264</v>
      </c>
      <c r="I25" s="99">
        <f>I19*Inputs!$C$6</f>
        <v>305.63979924405004</v>
      </c>
      <c r="J25" s="147">
        <f>J19*Inputs!$C$6</f>
        <v>4720.5584104680556</v>
      </c>
      <c r="K25" s="97">
        <f>K19*Inputs!$C$6</f>
        <v>7721.6630710180261</v>
      </c>
      <c r="L25" s="97">
        <f>L19*Inputs!$C$6</f>
        <v>11723.135951751319</v>
      </c>
      <c r="M25" s="99">
        <f>M19*Inputs!$C$6</f>
        <v>7521.5894269813625</v>
      </c>
      <c r="N25" s="147">
        <f>N19*Inputs!$C$6</f>
        <v>113.38219789708702</v>
      </c>
      <c r="O25" s="97">
        <f>O19*Inputs!$C$6</f>
        <v>737.11599743247598</v>
      </c>
      <c r="P25" s="97">
        <f>P19*Inputs!$C$6</f>
        <v>6965.8220487616081</v>
      </c>
      <c r="Q25" s="99">
        <f>Q19*Inputs!$C$6</f>
        <v>140.13392245438104</v>
      </c>
    </row>
    <row r="26" spans="1:17" ht="15">
      <c r="A26" s="806" t="str">
        <f>'Resid TSM Sum by Rate Schedule'!A27</f>
        <v>Annualized Meter Cost at 10.78%</v>
      </c>
      <c r="B26" s="628">
        <f>B20*Inputs!$C$7</f>
        <v>51.57900874774186</v>
      </c>
      <c r="C26" s="627">
        <f>C20*Inputs!$C$7</f>
        <v>105.60354925087807</v>
      </c>
      <c r="D26" s="627"/>
      <c r="E26" s="626">
        <f>E20*Inputs!$C$7</f>
        <v>53.051324555619452</v>
      </c>
      <c r="F26" s="628">
        <f>F20*Inputs!$C$7</f>
        <v>115.57213761489345</v>
      </c>
      <c r="G26" s="627">
        <f>G20*Inputs!$C$7</f>
        <v>118.06428470589735</v>
      </c>
      <c r="H26" s="627">
        <f>H20*Inputs!$C$7</f>
        <v>118.06428470589732</v>
      </c>
      <c r="I26" s="626">
        <f>I20*Inputs!$C$7</f>
        <v>116.97482149671531</v>
      </c>
      <c r="J26" s="628">
        <f>J20*Inputs!$C$7</f>
        <v>118.06428470589732</v>
      </c>
      <c r="K26" s="627">
        <f>K20*Inputs!$C$7</f>
        <v>118.06428470589732</v>
      </c>
      <c r="L26" s="627">
        <f>L20*Inputs!$C$7</f>
        <v>118.06428470589732</v>
      </c>
      <c r="M26" s="626">
        <f>M20*Inputs!$C$7</f>
        <v>118.06428470589735</v>
      </c>
      <c r="N26" s="628">
        <f>N20*Inputs!$C$7</f>
        <v>52.193950871626008</v>
      </c>
      <c r="O26" s="627">
        <f>O20*Inputs!$C$7</f>
        <v>109.466377241934</v>
      </c>
      <c r="P26" s="627">
        <f>P20*Inputs!$C$7</f>
        <v>118.06428470589732</v>
      </c>
      <c r="Q26" s="626">
        <f>Q20*Inputs!$C$7</f>
        <v>54.432649712083965</v>
      </c>
    </row>
    <row r="27" spans="1:17">
      <c r="A27" s="621" t="s">
        <v>380</v>
      </c>
      <c r="B27" s="147">
        <f>SUM(B24:B26)</f>
        <v>1181.1442255458117</v>
      </c>
      <c r="C27" s="97">
        <f t="shared" ref="C27:Q27" si="8">SUM(C24:C26)</f>
        <v>3722.8235877848429</v>
      </c>
      <c r="D27" s="97"/>
      <c r="E27" s="99">
        <f t="shared" si="8"/>
        <v>1250.4119077644793</v>
      </c>
      <c r="F27" s="147">
        <f t="shared" si="8"/>
        <v>366.32975590160709</v>
      </c>
      <c r="G27" s="97">
        <f t="shared" si="8"/>
        <v>462.27481211043988</v>
      </c>
      <c r="H27" s="97">
        <f t="shared" si="8"/>
        <v>740.80112948122371</v>
      </c>
      <c r="I27" s="99">
        <f t="shared" si="8"/>
        <v>422.61462074076536</v>
      </c>
      <c r="J27" s="147">
        <f t="shared" si="8"/>
        <v>4838.6226951739527</v>
      </c>
      <c r="K27" s="97">
        <f t="shared" si="8"/>
        <v>7839.7273557239232</v>
      </c>
      <c r="L27" s="97">
        <f t="shared" si="8"/>
        <v>11841.200236457216</v>
      </c>
      <c r="M27" s="99">
        <f t="shared" si="8"/>
        <v>7639.6537116872596</v>
      </c>
      <c r="N27" s="147">
        <f t="shared" si="8"/>
        <v>1175.1254994094481</v>
      </c>
      <c r="O27" s="97">
        <f t="shared" si="8"/>
        <v>2859.6025181980485</v>
      </c>
      <c r="P27" s="97">
        <f t="shared" si="8"/>
        <v>7083.8863334675052</v>
      </c>
      <c r="Q27" s="99">
        <f t="shared" si="8"/>
        <v>1242.5040595833705</v>
      </c>
    </row>
    <row r="28" spans="1:17">
      <c r="A28" s="519"/>
      <c r="B28" s="142"/>
      <c r="C28" s="34"/>
      <c r="D28" s="34"/>
      <c r="E28" s="44"/>
      <c r="F28" s="142"/>
      <c r="G28" s="34"/>
      <c r="H28" s="34"/>
      <c r="I28" s="44"/>
      <c r="J28" s="142"/>
      <c r="K28" s="34"/>
      <c r="L28" s="34"/>
      <c r="M28" s="44"/>
      <c r="N28" s="142"/>
      <c r="O28" s="34"/>
      <c r="P28" s="34"/>
      <c r="Q28" s="44"/>
    </row>
    <row r="29" spans="1:17">
      <c r="A29" s="40" t="s">
        <v>50</v>
      </c>
      <c r="B29" s="143">
        <f>'M-L C&amp;I TSM Summary'!B$29*Inputs!$C$13</f>
        <v>148.73806370720951</v>
      </c>
      <c r="C29" s="163">
        <f>'M-L C&amp;I TSM Summary'!C$29*Inputs!$C$13</f>
        <v>148.82215016207113</v>
      </c>
      <c r="D29" s="163"/>
      <c r="E29" s="49">
        <f>'M-L C&amp;I TSM Summary'!E$29*Inputs!$C$13</f>
        <v>148.74035529202578</v>
      </c>
      <c r="F29" s="143">
        <f>'M-L C&amp;I TSM Summary'!F$29*Inputs!$C$13</f>
        <v>51.284941211622503</v>
      </c>
      <c r="G29" s="163">
        <f>'M-L C&amp;I TSM Summary'!G$29*Inputs!$C$13</f>
        <v>51.802088812642978</v>
      </c>
      <c r="H29" s="163">
        <f>'M-L C&amp;I TSM Summary'!H$29*Inputs!$C$13</f>
        <v>51.373757086725199</v>
      </c>
      <c r="I29" s="49">
        <f>'M-L C&amp;I TSM Summary'!I$29*Inputs!$C$13</f>
        <v>51.572502442858749</v>
      </c>
      <c r="J29" s="143">
        <f>'M-L C&amp;I TSM Summary'!J$29*Inputs!$C$13</f>
        <v>961.74155661828036</v>
      </c>
      <c r="K29" s="163">
        <f>'M-L C&amp;I TSM Summary'!K$29*Inputs!$C$13</f>
        <v>1025.9763068088528</v>
      </c>
      <c r="L29" s="163">
        <f>'M-L C&amp;I TSM Summary'!L$29*Inputs!$C$13</f>
        <v>1130.3577758685328</v>
      </c>
      <c r="M29" s="49">
        <f>'M-L C&amp;I TSM Summary'!M$29*Inputs!$C$13</f>
        <v>1024.6916118050412</v>
      </c>
      <c r="N29" s="143">
        <f>'M-L C&amp;I TSM Summary'!N$29*Inputs!$C$13</f>
        <v>147.6455968421723</v>
      </c>
      <c r="O29" s="163">
        <f>'M-L C&amp;I TSM Summary'!O$29*Inputs!$C$13</f>
        <v>155.14211876535961</v>
      </c>
      <c r="P29" s="163">
        <f>'M-L C&amp;I TSM Summary'!P$29*Inputs!$C$13</f>
        <v>278.82223747717597</v>
      </c>
      <c r="Q29" s="49">
        <f>'M-L C&amp;I TSM Summary'!Q$29*Inputs!$C$13</f>
        <v>147.98598559289968</v>
      </c>
    </row>
    <row r="30" spans="1:17" ht="15">
      <c r="A30" s="40" t="s">
        <v>453</v>
      </c>
      <c r="B30" s="730">
        <f>-Inputs!$C$18</f>
        <v>-3.0284021924274875</v>
      </c>
      <c r="C30" s="729">
        <f>-Inputs!$C$18</f>
        <v>-3.0284021924274875</v>
      </c>
      <c r="D30" s="729"/>
      <c r="E30" s="731">
        <f>-Inputs!$C$18</f>
        <v>-3.0284021924274875</v>
      </c>
      <c r="F30" s="730">
        <f>-Inputs!$C$18</f>
        <v>-3.0284021924274875</v>
      </c>
      <c r="G30" s="729">
        <f>-Inputs!$C$18</f>
        <v>-3.0284021924274875</v>
      </c>
      <c r="H30" s="729">
        <f>-Inputs!$C$18</f>
        <v>-3.0284021924274875</v>
      </c>
      <c r="I30" s="731">
        <f>-Inputs!$C$18</f>
        <v>-3.0284021924274875</v>
      </c>
      <c r="J30" s="730">
        <f>-Inputs!$C$18</f>
        <v>-3.0284021924274875</v>
      </c>
      <c r="K30" s="729">
        <f>-Inputs!$C$18</f>
        <v>-3.0284021924274875</v>
      </c>
      <c r="L30" s="729">
        <f>-Inputs!$C$18</f>
        <v>-3.0284021924274875</v>
      </c>
      <c r="M30" s="731">
        <f>-Inputs!$C$18</f>
        <v>-3.0284021924274875</v>
      </c>
      <c r="N30" s="730">
        <f>-Inputs!$C$18</f>
        <v>-3.0284021924274875</v>
      </c>
      <c r="O30" s="729">
        <f>-Inputs!$C$18</f>
        <v>-3.0284021924274875</v>
      </c>
      <c r="P30" s="729">
        <f>-Inputs!$C$18</f>
        <v>-3.0284021924274875</v>
      </c>
      <c r="Q30" s="731">
        <f>-Inputs!$C$18</f>
        <v>-3.0284021924274875</v>
      </c>
    </row>
    <row r="31" spans="1:17">
      <c r="A31" s="40" t="s">
        <v>451</v>
      </c>
      <c r="B31" s="143">
        <f>B29+B30</f>
        <v>145.70966151478203</v>
      </c>
      <c r="C31" s="163">
        <f t="shared" ref="C31:Q31" si="9">C29+C30</f>
        <v>145.79374796964365</v>
      </c>
      <c r="D31" s="163"/>
      <c r="E31" s="49">
        <f t="shared" si="9"/>
        <v>145.7119530995983</v>
      </c>
      <c r="F31" s="143">
        <f t="shared" si="9"/>
        <v>48.256539019195017</v>
      </c>
      <c r="G31" s="163">
        <f t="shared" si="9"/>
        <v>48.773686620215493</v>
      </c>
      <c r="H31" s="163">
        <f t="shared" si="9"/>
        <v>48.345354894297714</v>
      </c>
      <c r="I31" s="49">
        <f t="shared" si="9"/>
        <v>48.544100250431264</v>
      </c>
      <c r="J31" s="143">
        <f t="shared" si="9"/>
        <v>958.71315442585285</v>
      </c>
      <c r="K31" s="163">
        <f t="shared" si="9"/>
        <v>1022.9479046164253</v>
      </c>
      <c r="L31" s="163">
        <f t="shared" si="9"/>
        <v>1127.3293736761054</v>
      </c>
      <c r="M31" s="49">
        <f t="shared" si="9"/>
        <v>1021.6632096126137</v>
      </c>
      <c r="N31" s="143">
        <f t="shared" si="9"/>
        <v>144.61719464974482</v>
      </c>
      <c r="O31" s="163">
        <f t="shared" si="9"/>
        <v>152.11371657293213</v>
      </c>
      <c r="P31" s="163">
        <f t="shared" si="9"/>
        <v>275.79383528474847</v>
      </c>
      <c r="Q31" s="49">
        <f t="shared" si="9"/>
        <v>144.9575834004722</v>
      </c>
    </row>
    <row r="32" spans="1:17">
      <c r="A32" s="146"/>
      <c r="B32" s="10"/>
      <c r="C32" s="31"/>
      <c r="D32" s="31"/>
      <c r="E32" s="107"/>
      <c r="F32" s="10"/>
      <c r="G32" s="31"/>
      <c r="H32" s="31"/>
      <c r="I32" s="107"/>
      <c r="J32" s="10"/>
      <c r="K32" s="31"/>
      <c r="L32" s="31"/>
      <c r="M32" s="107"/>
      <c r="N32" s="10"/>
      <c r="O32" s="31"/>
      <c r="P32" s="31"/>
      <c r="Q32" s="107"/>
    </row>
    <row r="33" spans="1:17">
      <c r="A33" s="145" t="s">
        <v>61</v>
      </c>
      <c r="B33" s="143">
        <f>'M-L C&amp;I TSM Summary'!B31*Inputs!$C$14</f>
        <v>481.55031066335579</v>
      </c>
      <c r="C33" s="163">
        <f>'M-L C&amp;I TSM Summary'!C31*Inputs!$C$14</f>
        <v>481.55031066335573</v>
      </c>
      <c r="D33" s="163"/>
      <c r="E33" s="49">
        <f>'M-L C&amp;I TSM Summary'!E31*Inputs!$C$14</f>
        <v>481.55031066335573</v>
      </c>
      <c r="F33" s="143">
        <f>'M-L C&amp;I TSM Summary'!F31*Inputs!$C$14</f>
        <v>481.55031066335567</v>
      </c>
      <c r="G33" s="163">
        <f>'M-L C&amp;I TSM Summary'!G31*Inputs!$C$14</f>
        <v>481.55031066335573</v>
      </c>
      <c r="H33" s="163">
        <f>'M-L C&amp;I TSM Summary'!H31*Inputs!$C$14</f>
        <v>481.55031066335573</v>
      </c>
      <c r="I33" s="49">
        <f>'M-L C&amp;I TSM Summary'!I31*Inputs!$C$14</f>
        <v>481.55031066335567</v>
      </c>
      <c r="J33" s="143">
        <f>'M-L C&amp;I TSM Summary'!J31*Inputs!$C$14</f>
        <v>481.55031066335573</v>
      </c>
      <c r="K33" s="163">
        <f>'M-L C&amp;I TSM Summary'!K31*Inputs!$C$14</f>
        <v>481.55031066335573</v>
      </c>
      <c r="L33" s="163">
        <f>'M-L C&amp;I TSM Summary'!L31*Inputs!$C$14</f>
        <v>481.55031066335573</v>
      </c>
      <c r="M33" s="49">
        <f>'M-L C&amp;I TSM Summary'!M31*Inputs!$C$14</f>
        <v>481.55031066335573</v>
      </c>
      <c r="N33" s="143">
        <f>'M-L C&amp;I TSM Summary'!N31*Inputs!$C$14</f>
        <v>481.55031066335579</v>
      </c>
      <c r="O33" s="163">
        <f>'M-L C&amp;I TSM Summary'!O31*Inputs!$C$14</f>
        <v>481.55031066335567</v>
      </c>
      <c r="P33" s="163">
        <f>'M-L C&amp;I TSM Summary'!P31*Inputs!$C$14</f>
        <v>481.55031066335573</v>
      </c>
      <c r="Q33" s="49">
        <f>'M-L C&amp;I TSM Summary'!Q31*Inputs!$C$14</f>
        <v>481.55031066335567</v>
      </c>
    </row>
    <row r="34" spans="1:17" ht="13.5" thickBot="1">
      <c r="A34" s="146"/>
      <c r="B34" s="144"/>
      <c r="C34" s="115"/>
      <c r="D34" s="115"/>
      <c r="E34" s="116"/>
      <c r="F34" s="144"/>
      <c r="G34" s="115"/>
      <c r="H34" s="115"/>
      <c r="I34" s="116"/>
      <c r="J34" s="144"/>
      <c r="K34" s="115"/>
      <c r="L34" s="115"/>
      <c r="M34" s="116"/>
      <c r="N34" s="144"/>
      <c r="O34" s="115"/>
      <c r="P34" s="115"/>
      <c r="Q34" s="116"/>
    </row>
    <row r="35" spans="1:17" ht="13.5" thickBot="1">
      <c r="A35" s="521" t="s">
        <v>165</v>
      </c>
      <c r="B35" s="371">
        <f t="shared" ref="B35:Q35" si="10">B27+B31+B33</f>
        <v>1808.4041977239494</v>
      </c>
      <c r="C35" s="372">
        <f>C27+C31+C33</f>
        <v>4350.1676464178427</v>
      </c>
      <c r="D35" s="372"/>
      <c r="E35" s="383">
        <f t="shared" si="10"/>
        <v>1877.6741715274334</v>
      </c>
      <c r="F35" s="371">
        <f t="shared" si="10"/>
        <v>896.13660558415779</v>
      </c>
      <c r="G35" s="372">
        <f t="shared" si="10"/>
        <v>992.59880939401114</v>
      </c>
      <c r="H35" s="372">
        <f t="shared" si="10"/>
        <v>1270.6967950388771</v>
      </c>
      <c r="I35" s="383">
        <f t="shared" si="10"/>
        <v>952.70903165455229</v>
      </c>
      <c r="J35" s="371">
        <f t="shared" si="10"/>
        <v>6278.8861602631614</v>
      </c>
      <c r="K35" s="372">
        <f t="shared" si="10"/>
        <v>9344.2255710037043</v>
      </c>
      <c r="L35" s="372">
        <f t="shared" si="10"/>
        <v>13450.079920796677</v>
      </c>
      <c r="M35" s="383">
        <f t="shared" si="10"/>
        <v>9142.8672319632278</v>
      </c>
      <c r="N35" s="371">
        <f t="shared" si="10"/>
        <v>1801.2930047225486</v>
      </c>
      <c r="O35" s="372">
        <f t="shared" si="10"/>
        <v>3493.266545434336</v>
      </c>
      <c r="P35" s="372">
        <f t="shared" si="10"/>
        <v>7841.2304794156098</v>
      </c>
      <c r="Q35" s="383">
        <f t="shared" si="10"/>
        <v>1869.0119536471984</v>
      </c>
    </row>
    <row r="36" spans="1:17"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</row>
    <row r="38" spans="1:17">
      <c r="A38" t="s">
        <v>3</v>
      </c>
      <c r="B38" s="434"/>
      <c r="C38" s="434"/>
      <c r="D38" s="434"/>
      <c r="E38" s="434"/>
      <c r="F38" s="434"/>
      <c r="G38" s="434"/>
      <c r="H38" s="434"/>
      <c r="I38" s="434"/>
      <c r="J38" s="434"/>
      <c r="K38" s="434"/>
      <c r="L38" s="434"/>
      <c r="M38" s="434"/>
      <c r="N38" s="434"/>
      <c r="O38" s="434"/>
      <c r="P38" s="434"/>
      <c r="Q38" s="434"/>
    </row>
    <row r="46" spans="1:17">
      <c r="A46" s="19"/>
    </row>
    <row r="58" spans="1:1">
      <c r="A58" s="19"/>
    </row>
  </sheetData>
  <mergeCells count="5">
    <mergeCell ref="A1:Q1"/>
    <mergeCell ref="B2:E2"/>
    <mergeCell ref="F2:I2"/>
    <mergeCell ref="J2:M2"/>
    <mergeCell ref="N2:Q2"/>
  </mergeCells>
  <printOptions horizontalCentered="1"/>
  <pageMargins left="0.75" right="0.75" top="1" bottom="1" header="0.5" footer="0.5"/>
  <pageSetup scale="55" orientation="portrait" r:id="rId1"/>
  <headerFooter alignWithMargins="0">
    <oddFooter>&amp;L&amp;F
&amp;A&amp;R&amp;P of &amp;N</oddFooter>
  </headerFooter>
  <colBreaks count="1" manualBreakCount="1">
    <brk id="9" max="29" man="1"/>
  </colBreak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Sheet35">
    <tabColor rgb="FFFFC000"/>
    <pageSetUpPr fitToPage="1"/>
  </sheetPr>
  <dimension ref="A1:H47"/>
  <sheetViews>
    <sheetView topLeftCell="A13" zoomScaleNormal="100" workbookViewId="0">
      <selection activeCell="E14" sqref="E14"/>
    </sheetView>
  </sheetViews>
  <sheetFormatPr defaultRowHeight="12.75"/>
  <cols>
    <col min="1" max="1" width="25" bestFit="1" customWidth="1"/>
    <col min="2" max="2" width="16" bestFit="1" customWidth="1"/>
    <col min="3" max="3" width="15.42578125" bestFit="1" customWidth="1"/>
    <col min="4" max="5" width="10.7109375" customWidth="1"/>
    <col min="6" max="6" width="12.140625" customWidth="1"/>
    <col min="7" max="8" width="10.7109375" customWidth="1"/>
  </cols>
  <sheetData>
    <row r="1" spans="1:8" ht="18.75" thickBot="1">
      <c r="A1" s="841" t="s">
        <v>195</v>
      </c>
      <c r="B1" s="841"/>
      <c r="C1" s="841"/>
      <c r="D1" s="841"/>
      <c r="E1" s="841"/>
      <c r="F1" s="841"/>
    </row>
    <row r="2" spans="1:8" ht="13.5" thickBot="1">
      <c r="A2" s="428"/>
      <c r="B2" s="827" t="s">
        <v>0</v>
      </c>
      <c r="C2" s="828"/>
      <c r="D2" s="828"/>
      <c r="E2" s="828"/>
      <c r="F2" s="828"/>
      <c r="G2" s="131"/>
      <c r="H2" s="131"/>
    </row>
    <row r="3" spans="1:8" ht="13.5" thickBot="1">
      <c r="A3" s="429" t="s">
        <v>4</v>
      </c>
      <c r="B3" s="98" t="s">
        <v>136</v>
      </c>
      <c r="C3" s="28" t="s">
        <v>114</v>
      </c>
      <c r="D3" s="28" t="s">
        <v>33</v>
      </c>
      <c r="E3" s="28" t="s">
        <v>34</v>
      </c>
      <c r="F3" s="430" t="s">
        <v>270</v>
      </c>
      <c r="G3" s="102" t="s">
        <v>1</v>
      </c>
      <c r="H3" s="102" t="s">
        <v>2</v>
      </c>
    </row>
    <row r="4" spans="1:8">
      <c r="A4" s="5"/>
      <c r="B4" s="132" t="s">
        <v>45</v>
      </c>
      <c r="C4" s="8" t="s">
        <v>45</v>
      </c>
      <c r="D4" s="8" t="s">
        <v>45</v>
      </c>
      <c r="E4" s="8" t="s">
        <v>45</v>
      </c>
      <c r="F4" s="8" t="s">
        <v>45</v>
      </c>
      <c r="G4" s="134" t="s">
        <v>45</v>
      </c>
      <c r="H4" s="134" t="s">
        <v>45</v>
      </c>
    </row>
    <row r="5" spans="1:8">
      <c r="A5" s="132"/>
      <c r="B5" s="132"/>
      <c r="C5" s="8"/>
      <c r="D5" s="8"/>
      <c r="E5" s="8"/>
      <c r="F5" s="8"/>
      <c r="G5" s="146"/>
      <c r="H5" s="146"/>
    </row>
    <row r="6" spans="1:8">
      <c r="A6" s="21" t="s">
        <v>5</v>
      </c>
      <c r="B6" s="602">
        <v>1</v>
      </c>
      <c r="C6" s="603"/>
      <c r="D6" s="603">
        <v>0</v>
      </c>
      <c r="E6" s="603">
        <v>0</v>
      </c>
      <c r="F6" s="251">
        <f>SUM(B6:E6)</f>
        <v>1</v>
      </c>
      <c r="G6" s="774"/>
      <c r="H6" s="331">
        <f>F6+G6</f>
        <v>1</v>
      </c>
    </row>
    <row r="7" spans="1:8">
      <c r="A7" s="20" t="s">
        <v>6</v>
      </c>
      <c r="B7" s="602">
        <v>0</v>
      </c>
      <c r="C7" s="603"/>
      <c r="D7" s="603">
        <v>0</v>
      </c>
      <c r="E7" s="603">
        <v>0</v>
      </c>
      <c r="F7" s="251"/>
      <c r="G7" s="774"/>
      <c r="H7" s="774"/>
    </row>
    <row r="8" spans="1:8">
      <c r="A8" s="22" t="s">
        <v>7</v>
      </c>
      <c r="B8" s="602">
        <v>0</v>
      </c>
      <c r="C8" s="603"/>
      <c r="D8" s="603">
        <v>0</v>
      </c>
      <c r="E8" s="603">
        <v>0</v>
      </c>
      <c r="F8" s="251"/>
      <c r="G8" s="774"/>
      <c r="H8" s="774"/>
    </row>
    <row r="9" spans="1:8">
      <c r="A9" s="22" t="s">
        <v>124</v>
      </c>
      <c r="B9" s="602">
        <v>0</v>
      </c>
      <c r="C9" s="603"/>
      <c r="D9" s="603">
        <v>0</v>
      </c>
      <c r="E9" s="603">
        <v>0</v>
      </c>
      <c r="F9" s="251"/>
      <c r="G9" s="774"/>
      <c r="H9" s="774"/>
    </row>
    <row r="10" spans="1:8">
      <c r="A10" s="22" t="s">
        <v>116</v>
      </c>
      <c r="B10" s="602">
        <v>0</v>
      </c>
      <c r="C10" s="603"/>
      <c r="D10" s="603">
        <v>0</v>
      </c>
      <c r="E10" s="603">
        <v>0</v>
      </c>
      <c r="F10" s="251"/>
      <c r="G10" s="774"/>
      <c r="H10" s="331"/>
    </row>
    <row r="11" spans="1:8">
      <c r="A11" s="22" t="s">
        <v>8</v>
      </c>
      <c r="B11" s="602">
        <v>0</v>
      </c>
      <c r="C11" s="603"/>
      <c r="D11" s="603">
        <v>0</v>
      </c>
      <c r="E11" s="603">
        <v>1</v>
      </c>
      <c r="F11" s="251">
        <f t="shared" ref="F11:F17" si="0">SUM(B11:E11)</f>
        <v>1</v>
      </c>
      <c r="G11" s="774"/>
      <c r="H11" s="331">
        <f t="shared" ref="H11:H17" si="1">F11+G11</f>
        <v>1</v>
      </c>
    </row>
    <row r="12" spans="1:8">
      <c r="A12" s="22" t="s">
        <v>9</v>
      </c>
      <c r="B12" s="602">
        <v>2</v>
      </c>
      <c r="C12" s="603"/>
      <c r="D12" s="603">
        <v>2</v>
      </c>
      <c r="E12" s="603">
        <v>3</v>
      </c>
      <c r="F12" s="251">
        <f t="shared" si="0"/>
        <v>7</v>
      </c>
      <c r="G12" s="774"/>
      <c r="H12" s="331">
        <f t="shared" si="1"/>
        <v>7</v>
      </c>
    </row>
    <row r="13" spans="1:8">
      <c r="A13" s="22" t="s">
        <v>10</v>
      </c>
      <c r="B13" s="602"/>
      <c r="C13" s="603"/>
      <c r="D13" s="603">
        <v>1</v>
      </c>
      <c r="E13" s="603">
        <v>0</v>
      </c>
      <c r="F13" s="251">
        <f t="shared" si="0"/>
        <v>1</v>
      </c>
      <c r="G13" s="774"/>
      <c r="H13" s="331">
        <f t="shared" si="1"/>
        <v>1</v>
      </c>
    </row>
    <row r="14" spans="1:8">
      <c r="A14" s="22" t="s">
        <v>11</v>
      </c>
      <c r="B14" s="602"/>
      <c r="C14" s="603"/>
      <c r="D14" s="603">
        <v>3</v>
      </c>
      <c r="E14" s="603">
        <v>6</v>
      </c>
      <c r="F14" s="251">
        <f t="shared" si="0"/>
        <v>9</v>
      </c>
      <c r="G14" s="774"/>
      <c r="H14" s="331">
        <f t="shared" si="1"/>
        <v>9</v>
      </c>
    </row>
    <row r="15" spans="1:8">
      <c r="A15" s="22" t="s">
        <v>120</v>
      </c>
      <c r="B15" s="602"/>
      <c r="C15" s="603"/>
      <c r="D15" s="603"/>
      <c r="E15" s="603">
        <v>2</v>
      </c>
      <c r="F15" s="251">
        <f t="shared" si="0"/>
        <v>2</v>
      </c>
      <c r="G15" s="774"/>
      <c r="H15" s="331">
        <f t="shared" si="1"/>
        <v>2</v>
      </c>
    </row>
    <row r="16" spans="1:8">
      <c r="A16" s="22" t="s">
        <v>121</v>
      </c>
      <c r="B16" s="602"/>
      <c r="C16" s="603"/>
      <c r="D16" s="603"/>
      <c r="E16" s="603">
        <v>5</v>
      </c>
      <c r="F16" s="251">
        <f t="shared" si="0"/>
        <v>5</v>
      </c>
      <c r="G16" s="774"/>
      <c r="H16" s="331">
        <f t="shared" si="1"/>
        <v>5</v>
      </c>
    </row>
    <row r="17" spans="1:8">
      <c r="A17" s="22" t="s">
        <v>12</v>
      </c>
      <c r="B17" s="602"/>
      <c r="C17" s="603"/>
      <c r="D17" s="603"/>
      <c r="E17" s="603">
        <v>3</v>
      </c>
      <c r="F17" s="251">
        <f t="shared" si="0"/>
        <v>3</v>
      </c>
      <c r="G17" s="774"/>
      <c r="H17" s="331">
        <f t="shared" si="1"/>
        <v>3</v>
      </c>
    </row>
    <row r="18" spans="1:8">
      <c r="A18" s="22" t="s">
        <v>13</v>
      </c>
      <c r="B18" s="250"/>
      <c r="C18" s="251"/>
      <c r="D18" s="251"/>
      <c r="E18" s="251"/>
      <c r="F18" s="251"/>
      <c r="G18" s="774"/>
      <c r="H18" s="774"/>
    </row>
    <row r="19" spans="1:8">
      <c r="A19" s="22" t="s">
        <v>122</v>
      </c>
      <c r="B19" s="250"/>
      <c r="C19" s="251"/>
      <c r="D19" s="251"/>
      <c r="E19" s="251"/>
      <c r="F19" s="251"/>
      <c r="G19" s="774"/>
      <c r="H19" s="774"/>
    </row>
    <row r="20" spans="1:8">
      <c r="A20" s="22" t="s">
        <v>123</v>
      </c>
      <c r="B20" s="250"/>
      <c r="C20" s="251"/>
      <c r="D20" s="251"/>
      <c r="E20" s="251"/>
      <c r="F20" s="251"/>
      <c r="G20" s="774"/>
      <c r="H20" s="774"/>
    </row>
    <row r="21" spans="1:8" s="58" customFormat="1">
      <c r="A21" s="22" t="s">
        <v>14</v>
      </c>
      <c r="B21" s="250"/>
      <c r="C21" s="251"/>
      <c r="D21" s="251"/>
      <c r="E21" s="251"/>
      <c r="F21" s="251"/>
      <c r="G21" s="775"/>
      <c r="H21" s="775"/>
    </row>
    <row r="22" spans="1:8" s="58" customFormat="1">
      <c r="A22" s="22" t="s">
        <v>15</v>
      </c>
      <c r="B22" s="250"/>
      <c r="C22" s="251"/>
      <c r="D22" s="251"/>
      <c r="E22" s="251"/>
      <c r="F22" s="251"/>
      <c r="G22" s="775"/>
      <c r="H22" s="775"/>
    </row>
    <row r="23" spans="1:8">
      <c r="A23" s="21" t="s">
        <v>16</v>
      </c>
      <c r="B23" s="250"/>
      <c r="C23" s="251"/>
      <c r="D23" s="251"/>
      <c r="E23" s="251"/>
      <c r="F23" s="251"/>
      <c r="G23" s="774"/>
      <c r="H23" s="774"/>
    </row>
    <row r="24" spans="1:8">
      <c r="A24" s="22" t="s">
        <v>17</v>
      </c>
      <c r="B24" s="250"/>
      <c r="C24" s="251"/>
      <c r="D24" s="251"/>
      <c r="E24" s="251"/>
      <c r="F24" s="251"/>
      <c r="G24" s="774"/>
      <c r="H24" s="774"/>
    </row>
    <row r="25" spans="1:8">
      <c r="A25" s="22" t="s">
        <v>18</v>
      </c>
      <c r="B25" s="250"/>
      <c r="C25" s="251"/>
      <c r="D25" s="251"/>
      <c r="E25" s="251"/>
      <c r="F25" s="251"/>
      <c r="G25" s="774"/>
      <c r="H25" s="774"/>
    </row>
    <row r="26" spans="1:8">
      <c r="A26" s="22" t="s">
        <v>19</v>
      </c>
      <c r="B26" s="250"/>
      <c r="C26" s="251"/>
      <c r="D26" s="251"/>
      <c r="E26" s="251"/>
      <c r="F26" s="251"/>
      <c r="G26" s="774"/>
      <c r="H26" s="774"/>
    </row>
    <row r="27" spans="1:8">
      <c r="A27" s="22" t="s">
        <v>20</v>
      </c>
      <c r="B27" s="250"/>
      <c r="C27" s="251"/>
      <c r="D27" s="251"/>
      <c r="E27" s="251"/>
      <c r="F27" s="251"/>
      <c r="G27" s="774"/>
      <c r="H27" s="774"/>
    </row>
    <row r="28" spans="1:8">
      <c r="A28" s="22" t="s">
        <v>21</v>
      </c>
      <c r="B28" s="250"/>
      <c r="C28" s="251"/>
      <c r="D28" s="251"/>
      <c r="E28" s="251"/>
      <c r="F28" s="251"/>
      <c r="G28" s="774"/>
      <c r="H28" s="774"/>
    </row>
    <row r="29" spans="1:8">
      <c r="A29" s="22" t="s">
        <v>22</v>
      </c>
      <c r="B29" s="250"/>
      <c r="C29" s="251"/>
      <c r="D29" s="251"/>
      <c r="E29" s="251"/>
      <c r="F29" s="251"/>
      <c r="G29" s="774"/>
      <c r="H29" s="774"/>
    </row>
    <row r="30" spans="1:8">
      <c r="A30" s="22" t="s">
        <v>23</v>
      </c>
      <c r="B30" s="250"/>
      <c r="C30" s="251"/>
      <c r="D30" s="251"/>
      <c r="E30" s="251"/>
      <c r="F30" s="251"/>
      <c r="G30" s="774"/>
      <c r="H30" s="774"/>
    </row>
    <row r="31" spans="1:8">
      <c r="A31" s="22" t="s">
        <v>24</v>
      </c>
      <c r="B31" s="250"/>
      <c r="C31" s="251"/>
      <c r="D31" s="251"/>
      <c r="E31" s="251"/>
      <c r="F31" s="251"/>
      <c r="G31" s="774"/>
      <c r="H31" s="774"/>
    </row>
    <row r="32" spans="1:8">
      <c r="A32" s="21" t="s">
        <v>25</v>
      </c>
      <c r="B32" s="250"/>
      <c r="C32" s="251"/>
      <c r="D32" s="251"/>
      <c r="E32" s="251"/>
      <c r="F32" s="251"/>
      <c r="G32" s="774"/>
      <c r="H32" s="774"/>
    </row>
    <row r="33" spans="1:8">
      <c r="A33" s="21" t="s">
        <v>125</v>
      </c>
      <c r="B33" s="250"/>
      <c r="C33" s="251"/>
      <c r="D33" s="251"/>
      <c r="E33" s="251"/>
      <c r="F33" s="251"/>
      <c r="G33" s="774"/>
      <c r="H33" s="774"/>
    </row>
    <row r="34" spans="1:8">
      <c r="A34" s="21" t="s">
        <v>126</v>
      </c>
      <c r="B34" s="250"/>
      <c r="C34" s="251"/>
      <c r="D34" s="251"/>
      <c r="E34" s="251"/>
      <c r="F34" s="251"/>
      <c r="G34" s="774"/>
      <c r="H34" s="774"/>
    </row>
    <row r="35" spans="1:8">
      <c r="A35" s="21" t="s">
        <v>26</v>
      </c>
      <c r="B35" s="250"/>
      <c r="C35" s="251"/>
      <c r="D35" s="251"/>
      <c r="E35" s="251"/>
      <c r="F35" s="251"/>
      <c r="G35" s="774"/>
      <c r="H35" s="774"/>
    </row>
    <row r="36" spans="1:8">
      <c r="A36" s="21" t="s">
        <v>27</v>
      </c>
      <c r="B36" s="250"/>
      <c r="C36" s="251"/>
      <c r="D36" s="251"/>
      <c r="E36" s="251"/>
      <c r="F36" s="251"/>
      <c r="G36" s="774"/>
      <c r="H36" s="774"/>
    </row>
    <row r="37" spans="1:8" ht="13.5" thickBot="1">
      <c r="A37" s="323"/>
      <c r="B37" s="250"/>
      <c r="C37" s="251"/>
      <c r="D37" s="251"/>
      <c r="E37" s="251"/>
      <c r="F37" s="251"/>
      <c r="G37" s="774"/>
      <c r="H37" s="774"/>
    </row>
    <row r="38" spans="1:8" ht="13.5" thickBot="1">
      <c r="A38" s="323" t="s">
        <v>2</v>
      </c>
      <c r="B38" s="254">
        <f>SUM(B6:B37)</f>
        <v>3</v>
      </c>
      <c r="C38" s="255">
        <f>SUM(C6:C37)</f>
        <v>0</v>
      </c>
      <c r="D38" s="255">
        <f>SUM(D6:D37)</f>
        <v>6</v>
      </c>
      <c r="E38" s="255">
        <f>SUM(E6:E37)</f>
        <v>20</v>
      </c>
      <c r="F38" s="255">
        <f>SUM(F6:F37)</f>
        <v>29</v>
      </c>
      <c r="G38" s="776"/>
      <c r="H38" s="777">
        <f>F38+G38</f>
        <v>29</v>
      </c>
    </row>
    <row r="39" spans="1:8">
      <c r="A39" s="21" t="s">
        <v>185</v>
      </c>
      <c r="B39" s="335">
        <f>SUM(B6:B19)</f>
        <v>3</v>
      </c>
      <c r="C39" s="325">
        <f>SUM(C6:C19)</f>
        <v>0</v>
      </c>
      <c r="D39" s="325">
        <f>SUM(D6:D19)</f>
        <v>6</v>
      </c>
      <c r="E39" s="325">
        <f>SUM(E6:E19)</f>
        <v>20</v>
      </c>
      <c r="F39" s="325">
        <f>SUM(F6:F19)</f>
        <v>29</v>
      </c>
      <c r="G39" s="331"/>
      <c r="H39" s="331">
        <f>F39+G39</f>
        <v>29</v>
      </c>
    </row>
    <row r="40" spans="1:8">
      <c r="A40" s="21" t="s">
        <v>139</v>
      </c>
      <c r="B40" s="335">
        <f>SUM(B20:B33)</f>
        <v>0</v>
      </c>
      <c r="C40" s="325">
        <f>SUM(C20:C33)</f>
        <v>0</v>
      </c>
      <c r="D40" s="325">
        <f>SUM(D20:D33)</f>
        <v>0</v>
      </c>
      <c r="E40" s="325">
        <f>SUM(E20:E33)</f>
        <v>0</v>
      </c>
      <c r="F40" s="325">
        <f>SUM(F20:F33)</f>
        <v>0</v>
      </c>
      <c r="G40" s="331"/>
      <c r="H40" s="331">
        <f>F40+G40</f>
        <v>0</v>
      </c>
    </row>
    <row r="41" spans="1:8" ht="13.5" thickBot="1">
      <c r="A41" s="323" t="s">
        <v>100</v>
      </c>
      <c r="B41" s="336">
        <f>SUM(B34:B36)</f>
        <v>0</v>
      </c>
      <c r="C41" s="326">
        <f>SUM(C34:C36)</f>
        <v>0</v>
      </c>
      <c r="D41" s="326">
        <f>SUM(D34:D36)</f>
        <v>0</v>
      </c>
      <c r="E41" s="326">
        <f>SUM(E34:E36)</f>
        <v>0</v>
      </c>
      <c r="F41" s="326">
        <f>SUM(F34:F36)</f>
        <v>0</v>
      </c>
      <c r="G41" s="332"/>
      <c r="H41" s="332">
        <f>F41+G41</f>
        <v>0</v>
      </c>
    </row>
    <row r="42" spans="1:8">
      <c r="A42" s="322"/>
      <c r="B42" s="320"/>
      <c r="C42" s="320"/>
      <c r="D42" s="320"/>
      <c r="E42" s="320"/>
      <c r="F42" s="320"/>
      <c r="G42" s="320"/>
      <c r="H42" s="575"/>
    </row>
    <row r="43" spans="1:8">
      <c r="A43" s="33" t="s">
        <v>376</v>
      </c>
      <c r="B43" s="12"/>
      <c r="C43" s="12"/>
      <c r="D43" s="12"/>
      <c r="E43" s="12"/>
      <c r="F43" s="12"/>
      <c r="G43" s="12"/>
      <c r="H43" s="101"/>
    </row>
    <row r="44" spans="1:8">
      <c r="A44" s="33"/>
      <c r="B44" s="576" t="s">
        <v>478</v>
      </c>
      <c r="C44" s="12"/>
      <c r="D44" s="12"/>
      <c r="E44" s="12"/>
      <c r="F44" s="12"/>
      <c r="G44" s="12"/>
      <c r="H44" s="101"/>
    </row>
    <row r="45" spans="1:8" ht="13.5" thickBot="1">
      <c r="A45" s="94"/>
      <c r="B45" s="597" t="s">
        <v>375</v>
      </c>
      <c r="C45" s="32"/>
      <c r="D45" s="32"/>
      <c r="E45" s="32"/>
      <c r="F45" s="32"/>
      <c r="G45" s="32"/>
      <c r="H45" s="106"/>
    </row>
    <row r="47" spans="1:8">
      <c r="A47" s="340" t="s">
        <v>102</v>
      </c>
      <c r="B47" s="18">
        <f>SUM(B39:B41)-B38</f>
        <v>0</v>
      </c>
      <c r="C47" s="18">
        <f t="shared" ref="C47:H47" si="2">SUM(C39:C41)-C38</f>
        <v>0</v>
      </c>
      <c r="D47" s="18">
        <f t="shared" si="2"/>
        <v>0</v>
      </c>
      <c r="E47" s="18">
        <f t="shared" si="2"/>
        <v>0</v>
      </c>
      <c r="F47" s="18">
        <f t="shared" si="2"/>
        <v>0</v>
      </c>
      <c r="G47" s="18">
        <f t="shared" si="2"/>
        <v>0</v>
      </c>
      <c r="H47" s="18">
        <f t="shared" si="2"/>
        <v>0</v>
      </c>
    </row>
  </sheetData>
  <mergeCells count="2">
    <mergeCell ref="A1:F1"/>
    <mergeCell ref="B2:F2"/>
  </mergeCells>
  <printOptions horizontalCentered="1"/>
  <pageMargins left="0.75" right="0.75" top="1" bottom="1" header="0.5" footer="0.5"/>
  <pageSetup scale="81" orientation="portrait" r:id="rId1"/>
  <headerFooter alignWithMargins="0">
    <oddFooter>&amp;L&amp;F
&amp;A&amp;R&amp;P of &amp;N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Sheet36">
    <tabColor rgb="FFFFC000"/>
  </sheetPr>
  <dimension ref="A1:W54"/>
  <sheetViews>
    <sheetView zoomScaleNormal="100" workbookViewId="0">
      <selection activeCell="F17" sqref="F17"/>
    </sheetView>
  </sheetViews>
  <sheetFormatPr defaultRowHeight="12.75"/>
  <cols>
    <col min="1" max="1" width="32.7109375" customWidth="1"/>
    <col min="2" max="2" width="12.85546875" bestFit="1" customWidth="1"/>
    <col min="3" max="4" width="8.7109375" bestFit="1" customWidth="1"/>
    <col min="5" max="5" width="11.7109375" customWidth="1"/>
    <col min="6" max="6" width="12.85546875" bestFit="1" customWidth="1"/>
    <col min="7" max="8" width="11.5703125" customWidth="1"/>
    <col min="9" max="9" width="11.42578125" customWidth="1"/>
    <col min="10" max="10" width="12.85546875" bestFit="1" customWidth="1"/>
    <col min="11" max="11" width="11.28515625" bestFit="1" customWidth="1"/>
    <col min="12" max="12" width="10.140625" customWidth="1"/>
    <col min="13" max="13" width="11.7109375" customWidth="1"/>
    <col min="14" max="14" width="12.85546875" bestFit="1" customWidth="1"/>
    <col min="15" max="16" width="11.28515625" bestFit="1" customWidth="1"/>
    <col min="17" max="17" width="12.5703125" customWidth="1"/>
    <col min="18" max="18" width="12.85546875" bestFit="1" customWidth="1"/>
    <col min="19" max="20" width="11.28515625" bestFit="1" customWidth="1"/>
    <col min="21" max="21" width="10.28515625" bestFit="1" customWidth="1"/>
  </cols>
  <sheetData>
    <row r="1" spans="1:23" ht="18.75" thickBot="1">
      <c r="A1" s="841" t="s">
        <v>194</v>
      </c>
      <c r="B1" s="841"/>
      <c r="C1" s="841"/>
      <c r="D1" s="841"/>
      <c r="E1" s="841"/>
      <c r="F1" s="841"/>
      <c r="G1" s="841"/>
      <c r="H1" s="841"/>
      <c r="I1" s="841"/>
      <c r="J1" s="841"/>
      <c r="K1" s="841"/>
      <c r="L1" s="841"/>
      <c r="M1" s="841"/>
      <c r="N1" s="841"/>
      <c r="O1" s="841"/>
      <c r="P1" s="841"/>
      <c r="Q1" s="841"/>
    </row>
    <row r="2" spans="1:23" ht="13.5" thickBot="1">
      <c r="A2" s="308"/>
      <c r="B2" s="834" t="s">
        <v>132</v>
      </c>
      <c r="C2" s="835"/>
      <c r="D2" s="835"/>
      <c r="E2" s="835"/>
      <c r="F2" s="835"/>
      <c r="G2" s="835"/>
      <c r="H2" s="835"/>
      <c r="I2" s="835"/>
      <c r="J2" s="835"/>
      <c r="K2" s="835"/>
      <c r="L2" s="835"/>
      <c r="M2" s="835"/>
      <c r="N2" s="835"/>
      <c r="O2" s="835"/>
      <c r="P2" s="835"/>
      <c r="Q2" s="835"/>
      <c r="R2" s="834" t="s">
        <v>262</v>
      </c>
      <c r="S2" s="835"/>
      <c r="T2" s="835"/>
      <c r="U2" s="837"/>
    </row>
    <row r="3" spans="1:23">
      <c r="A3" s="68"/>
      <c r="B3" s="842" t="s">
        <v>127</v>
      </c>
      <c r="C3" s="843"/>
      <c r="D3" s="843"/>
      <c r="E3" s="844"/>
      <c r="F3" s="842" t="s">
        <v>114</v>
      </c>
      <c r="G3" s="843"/>
      <c r="H3" s="843"/>
      <c r="I3" s="844"/>
      <c r="J3" s="843" t="s">
        <v>33</v>
      </c>
      <c r="K3" s="843"/>
      <c r="L3" s="843"/>
      <c r="M3" s="844"/>
      <c r="N3" s="836" t="s">
        <v>34</v>
      </c>
      <c r="O3" s="843"/>
      <c r="P3" s="843"/>
      <c r="Q3" s="843"/>
      <c r="R3" s="846"/>
      <c r="S3" s="847"/>
      <c r="T3" s="847"/>
      <c r="U3" s="848"/>
    </row>
    <row r="4" spans="1:23" ht="13.5" thickBot="1">
      <c r="A4" s="311" t="s">
        <v>4</v>
      </c>
      <c r="B4" s="311" t="s">
        <v>36</v>
      </c>
      <c r="C4" s="312" t="s">
        <v>37</v>
      </c>
      <c r="D4" s="312" t="s">
        <v>38</v>
      </c>
      <c r="E4" s="313" t="s">
        <v>41</v>
      </c>
      <c r="F4" s="311" t="s">
        <v>36</v>
      </c>
      <c r="G4" s="312" t="s">
        <v>37</v>
      </c>
      <c r="H4" s="312" t="s">
        <v>38</v>
      </c>
      <c r="I4" s="313" t="s">
        <v>41</v>
      </c>
      <c r="J4" s="312" t="s">
        <v>36</v>
      </c>
      <c r="K4" s="312" t="s">
        <v>37</v>
      </c>
      <c r="L4" s="312" t="s">
        <v>38</v>
      </c>
      <c r="M4" s="313" t="s">
        <v>41</v>
      </c>
      <c r="N4" s="311" t="s">
        <v>36</v>
      </c>
      <c r="O4" s="312" t="s">
        <v>37</v>
      </c>
      <c r="P4" s="312" t="s">
        <v>38</v>
      </c>
      <c r="Q4" s="312" t="s">
        <v>41</v>
      </c>
      <c r="R4" s="311" t="s">
        <v>36</v>
      </c>
      <c r="S4" s="312" t="s">
        <v>37</v>
      </c>
      <c r="T4" s="312" t="s">
        <v>38</v>
      </c>
      <c r="U4" s="313" t="s">
        <v>41</v>
      </c>
    </row>
    <row r="5" spans="1:23">
      <c r="A5" s="5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6" t="s">
        <v>42</v>
      </c>
      <c r="K5" s="6" t="s">
        <v>42</v>
      </c>
      <c r="L5" s="6" t="s">
        <v>42</v>
      </c>
      <c r="M5" s="7" t="s">
        <v>43</v>
      </c>
      <c r="N5" s="5" t="s">
        <v>42</v>
      </c>
      <c r="O5" s="6" t="s">
        <v>42</v>
      </c>
      <c r="P5" s="6" t="s">
        <v>42</v>
      </c>
      <c r="Q5" s="7" t="s">
        <v>43</v>
      </c>
      <c r="R5" s="6" t="s">
        <v>42</v>
      </c>
      <c r="S5" s="6" t="s">
        <v>42</v>
      </c>
      <c r="T5" s="6" t="s">
        <v>42</v>
      </c>
      <c r="U5" s="7" t="s">
        <v>43</v>
      </c>
    </row>
    <row r="6" spans="1:23">
      <c r="A6" s="10"/>
      <c r="B6" s="132"/>
      <c r="C6" s="8"/>
      <c r="D6" s="8"/>
      <c r="E6" s="9"/>
      <c r="F6" s="132"/>
      <c r="G6" s="8"/>
      <c r="H6" s="8"/>
      <c r="I6" s="9"/>
      <c r="J6" s="8"/>
      <c r="K6" s="8"/>
      <c r="L6" s="8"/>
      <c r="M6" s="9"/>
      <c r="N6" s="132"/>
      <c r="O6" s="8"/>
      <c r="P6" s="8"/>
      <c r="Q6" s="9"/>
      <c r="R6" s="8"/>
      <c r="S6" s="8"/>
      <c r="T6" s="8"/>
      <c r="U6" s="9"/>
    </row>
    <row r="7" spans="1:23">
      <c r="A7" s="153" t="s">
        <v>5</v>
      </c>
      <c r="B7" s="137">
        <f>'Sch OL-TOU Cust Fcst'!$B6*'Non-Residential TSM UC Adj'!B7</f>
        <v>291.03048556553597</v>
      </c>
      <c r="C7" s="23">
        <f>'Sch OL-TOU Cust Fcst'!$B6*'Non-Residential TSM UC Adj'!C7</f>
        <v>112.16712195266035</v>
      </c>
      <c r="D7" s="23">
        <f>'Sch OL-TOU Cust Fcst'!$B6*'Non-Residential TSM UC Adj'!D7</f>
        <v>234.29973156037588</v>
      </c>
      <c r="E7" s="45">
        <f>IF(SUM(B7:D7)=0,0,SUM(B7:D7)/'Sch AL-TOU Cust Fcst'!B6)</f>
        <v>33.552491530451164</v>
      </c>
      <c r="F7" s="137">
        <f>'Sch OL-TOU Cust Fcst'!$C6*'Non-Residential TSM UC Adj'!F7</f>
        <v>0</v>
      </c>
      <c r="G7" s="23">
        <f>'Sch OL-TOU Cust Fcst'!$C6*'Non-Residential TSM UC Adj'!G7</f>
        <v>0</v>
      </c>
      <c r="H7" s="23">
        <f>'Sch OL-TOU Cust Fcst'!$C6*'Non-Residential TSM UC Adj'!H7</f>
        <v>0</v>
      </c>
      <c r="I7" s="45">
        <f>IF(SUM(F7:H7)=0,0,SUM(F7:H7)/'Sch AL-TOU Cust Fcst'!C6)</f>
        <v>0</v>
      </c>
      <c r="J7" s="137">
        <f>'Sch OL-TOU Cust Fcst'!$D6*'Non-Residential TSM UC Adj'!J7</f>
        <v>0</v>
      </c>
      <c r="K7" s="23">
        <f>'Sch OL-TOU Cust Fcst'!$D6*'Non-Residential TSM UC Adj'!K7</f>
        <v>0</v>
      </c>
      <c r="L7" s="23">
        <f>'Sch OL-TOU Cust Fcst'!$D6*'Non-Residential TSM UC Adj'!L7</f>
        <v>0</v>
      </c>
      <c r="M7" s="45">
        <f>IF(SUM(J7:L7)=0,0,SUM(J7:L7)/'Sch AL-TOU Cust Fcst'!D6)</f>
        <v>0</v>
      </c>
      <c r="N7" s="137">
        <f>'Sch OL-TOU Cust Fcst'!$E6*'Non-Residential TSM UC Adj'!N7</f>
        <v>0</v>
      </c>
      <c r="O7" s="23">
        <f>'Sch OL-TOU Cust Fcst'!$E6*'Non-Residential TSM UC Adj'!O7</f>
        <v>0</v>
      </c>
      <c r="P7" s="23">
        <f>'Sch OL-TOU Cust Fcst'!$E6*'Non-Residential TSM UC Adj'!P7</f>
        <v>0</v>
      </c>
      <c r="Q7" s="45">
        <f>IF(SUM(N7:P7)=0,0,SUM(N7:P7)/'Sch AL-TOU Cust Fcst'!E6)</f>
        <v>0</v>
      </c>
      <c r="R7" s="23">
        <f>B7+F7+J7+N7</f>
        <v>291.03048556553597</v>
      </c>
      <c r="S7" s="23">
        <f t="shared" ref="S7:T22" si="0">C7+G7+K7+O7</f>
        <v>112.16712195266035</v>
      </c>
      <c r="T7" s="23">
        <f t="shared" si="0"/>
        <v>234.29973156037588</v>
      </c>
      <c r="U7" s="45">
        <f>IF(SUM(R7:T7)=0,0,SUM(R7:T7)/'Sch AL-TOU Cust Fcst'!F6)</f>
        <v>8.0695865706148382</v>
      </c>
    </row>
    <row r="8" spans="1:23">
      <c r="A8" s="154" t="s">
        <v>6</v>
      </c>
      <c r="B8" s="137">
        <f>'Sch OL-TOU Cust Fcst'!$B7*'Non-Residential TSM UC Adj'!B8</f>
        <v>0</v>
      </c>
      <c r="C8" s="23">
        <f>'Sch OL-TOU Cust Fcst'!$B7*'Non-Residential TSM UC Adj'!C8</f>
        <v>0</v>
      </c>
      <c r="D8" s="23">
        <f>'Sch OL-TOU Cust Fcst'!$B7*'Non-Residential TSM UC Adj'!D8</f>
        <v>0</v>
      </c>
      <c r="E8" s="45">
        <f>IF(SUM(B8:D8)=0,0,SUM(B8:D8)/'Sch AL-TOU Cust Fcst'!B7)</f>
        <v>0</v>
      </c>
      <c r="F8" s="137">
        <f>'Sch OL-TOU Cust Fcst'!$C7*'Non-Residential TSM UC Adj'!F8</f>
        <v>0</v>
      </c>
      <c r="G8" s="23">
        <f>'Sch OL-TOU Cust Fcst'!$C7*'Non-Residential TSM UC Adj'!G8</f>
        <v>0</v>
      </c>
      <c r="H8" s="23">
        <f>'Sch OL-TOU Cust Fcst'!$C7*'Non-Residential TSM UC Adj'!H8</f>
        <v>0</v>
      </c>
      <c r="I8" s="45">
        <f>IF(SUM(F8:H8)=0,0,SUM(F8:H8)/'Sch AL-TOU Cust Fcst'!C7)</f>
        <v>0</v>
      </c>
      <c r="J8" s="137">
        <f>'Sch OL-TOU Cust Fcst'!$D7*'Non-Residential TSM UC Adj'!J8</f>
        <v>0</v>
      </c>
      <c r="K8" s="23">
        <f>'Sch OL-TOU Cust Fcst'!$D7*'Non-Residential TSM UC Adj'!K8</f>
        <v>0</v>
      </c>
      <c r="L8" s="23">
        <f>'Sch OL-TOU Cust Fcst'!$D7*'Non-Residential TSM UC Adj'!L8</f>
        <v>0</v>
      </c>
      <c r="M8" s="45">
        <f>IF(SUM(J8:L8)=0,0,SUM(J8:L8)/'Sch AL-TOU Cust Fcst'!D7)</f>
        <v>0</v>
      </c>
      <c r="N8" s="137">
        <f>'Sch OL-TOU Cust Fcst'!$E7*'Non-Residential TSM UC Adj'!N8</f>
        <v>0</v>
      </c>
      <c r="O8" s="23">
        <f>'Sch OL-TOU Cust Fcst'!$E7*'Non-Residential TSM UC Adj'!O8</f>
        <v>0</v>
      </c>
      <c r="P8" s="23">
        <f>'Sch OL-TOU Cust Fcst'!$E7*'Non-Residential TSM UC Adj'!P8</f>
        <v>0</v>
      </c>
      <c r="Q8" s="45">
        <f>IF(SUM(N8:P8)=0,0,SUM(N8:P8)/'Sch AL-TOU Cust Fcst'!E7)</f>
        <v>0</v>
      </c>
      <c r="R8" s="23">
        <f t="shared" ref="R8:R37" si="1">B8+F8+J8+N8</f>
        <v>0</v>
      </c>
      <c r="S8" s="23">
        <f t="shared" si="0"/>
        <v>0</v>
      </c>
      <c r="T8" s="23">
        <f t="shared" si="0"/>
        <v>0</v>
      </c>
      <c r="U8" s="45">
        <f>IF(SUM(R8:T8)=0,0,SUM(R8:T8)/'Sch AL-TOU Cust Fcst'!F7)</f>
        <v>0</v>
      </c>
    </row>
    <row r="9" spans="1:23">
      <c r="A9" s="155" t="s">
        <v>7</v>
      </c>
      <c r="B9" s="137">
        <f>'Sch OL-TOU Cust Fcst'!$B8*'Non-Residential TSM UC Adj'!B9</f>
        <v>0</v>
      </c>
      <c r="C9" s="23">
        <f>'Sch OL-TOU Cust Fcst'!$B8*'Non-Residential TSM UC Adj'!C9</f>
        <v>0</v>
      </c>
      <c r="D9" s="23">
        <f>'Sch OL-TOU Cust Fcst'!$B8*'Non-Residential TSM UC Adj'!D9</f>
        <v>0</v>
      </c>
      <c r="E9" s="45">
        <f>IF(SUM(B9:D9)=0,0,SUM(B9:D9)/'Sch AL-TOU Cust Fcst'!B8)</f>
        <v>0</v>
      </c>
      <c r="F9" s="137">
        <f>'Sch OL-TOU Cust Fcst'!$C8*'Non-Residential TSM UC Adj'!F9</f>
        <v>0</v>
      </c>
      <c r="G9" s="23">
        <f>'Sch OL-TOU Cust Fcst'!$C8*'Non-Residential TSM UC Adj'!G9</f>
        <v>0</v>
      </c>
      <c r="H9" s="23">
        <f>'Sch OL-TOU Cust Fcst'!$C8*'Non-Residential TSM UC Adj'!H9</f>
        <v>0</v>
      </c>
      <c r="I9" s="45">
        <f>IF(SUM(F9:H9)=0,0,SUM(F9:H9)/'Sch AL-TOU Cust Fcst'!C8)</f>
        <v>0</v>
      </c>
      <c r="J9" s="137">
        <f>'Sch OL-TOU Cust Fcst'!$D8*'Non-Residential TSM UC Adj'!J9</f>
        <v>0</v>
      </c>
      <c r="K9" s="23">
        <f>'Sch OL-TOU Cust Fcst'!$D8*'Non-Residential TSM UC Adj'!K9</f>
        <v>0</v>
      </c>
      <c r="L9" s="23">
        <f>'Sch OL-TOU Cust Fcst'!$D8*'Non-Residential TSM UC Adj'!L9</f>
        <v>0</v>
      </c>
      <c r="M9" s="45">
        <f>IF(SUM(J9:L9)=0,0,SUM(J9:L9)/'Sch AL-TOU Cust Fcst'!D8)</f>
        <v>0</v>
      </c>
      <c r="N9" s="137">
        <f>'Sch OL-TOU Cust Fcst'!$E8*'Non-Residential TSM UC Adj'!N9</f>
        <v>0</v>
      </c>
      <c r="O9" s="23">
        <f>'Sch OL-TOU Cust Fcst'!$E8*'Non-Residential TSM UC Adj'!O9</f>
        <v>0</v>
      </c>
      <c r="P9" s="23">
        <f>'Sch OL-TOU Cust Fcst'!$E8*'Non-Residential TSM UC Adj'!P9</f>
        <v>0</v>
      </c>
      <c r="Q9" s="45">
        <f>IF(SUM(N9:P9)=0,0,SUM(N9:P9)/'Sch AL-TOU Cust Fcst'!E8)</f>
        <v>0</v>
      </c>
      <c r="R9" s="23">
        <f t="shared" si="1"/>
        <v>0</v>
      </c>
      <c r="S9" s="23">
        <f t="shared" si="0"/>
        <v>0</v>
      </c>
      <c r="T9" s="23">
        <f t="shared" si="0"/>
        <v>0</v>
      </c>
      <c r="U9" s="45">
        <f>IF(SUM(R9:T9)=0,0,SUM(R9:T9)/'Sch AL-TOU Cust Fcst'!F8)</f>
        <v>0</v>
      </c>
    </row>
    <row r="10" spans="1:23">
      <c r="A10" s="155" t="s">
        <v>124</v>
      </c>
      <c r="B10" s="137">
        <f>'Sch OL-TOU Cust Fcst'!$B9*'Non-Residential TSM UC Adj'!B10</f>
        <v>0</v>
      </c>
      <c r="C10" s="23">
        <f>'Sch OL-TOU Cust Fcst'!$B9*'Non-Residential TSM UC Adj'!C10</f>
        <v>0</v>
      </c>
      <c r="D10" s="23">
        <f>'Sch OL-TOU Cust Fcst'!$B9*'Non-Residential TSM UC Adj'!D10</f>
        <v>0</v>
      </c>
      <c r="E10" s="45">
        <f>IF(SUM(B10:D10)=0,0,SUM(B10:D10)/'Sch AL-TOU Cust Fcst'!B9)</f>
        <v>0</v>
      </c>
      <c r="F10" s="137">
        <f>'Sch OL-TOU Cust Fcst'!$C9*'Non-Residential TSM UC Adj'!F10</f>
        <v>0</v>
      </c>
      <c r="G10" s="23">
        <f>'Sch OL-TOU Cust Fcst'!$C9*'Non-Residential TSM UC Adj'!G10</f>
        <v>0</v>
      </c>
      <c r="H10" s="23">
        <f>'Sch OL-TOU Cust Fcst'!$C9*'Non-Residential TSM UC Adj'!H10</f>
        <v>0</v>
      </c>
      <c r="I10" s="45">
        <f>IF(SUM(F10:H10)=0,0,SUM(F10:H10)/'Sch AL-TOU Cust Fcst'!C9)</f>
        <v>0</v>
      </c>
      <c r="J10" s="137">
        <f>'Sch OL-TOU Cust Fcst'!$D9*'Non-Residential TSM UC Adj'!J10</f>
        <v>0</v>
      </c>
      <c r="K10" s="23">
        <f>'Sch OL-TOU Cust Fcst'!$D9*'Non-Residential TSM UC Adj'!K10</f>
        <v>0</v>
      </c>
      <c r="L10" s="23">
        <f>'Sch OL-TOU Cust Fcst'!$D9*'Non-Residential TSM UC Adj'!L10</f>
        <v>0</v>
      </c>
      <c r="M10" s="45">
        <f>IF(SUM(J10:L10)=0,0,SUM(J10:L10)/'Sch AL-TOU Cust Fcst'!D9)</f>
        <v>0</v>
      </c>
      <c r="N10" s="137">
        <f>'Sch OL-TOU Cust Fcst'!$E9*'Non-Residential TSM UC Adj'!N10</f>
        <v>0</v>
      </c>
      <c r="O10" s="23">
        <f>'Sch OL-TOU Cust Fcst'!$E9*'Non-Residential TSM UC Adj'!O10</f>
        <v>0</v>
      </c>
      <c r="P10" s="23">
        <f>'Sch OL-TOU Cust Fcst'!$E9*'Non-Residential TSM UC Adj'!P10</f>
        <v>0</v>
      </c>
      <c r="Q10" s="45">
        <f>IF(SUM(N10:P10)=0,0,SUM(N10:P10)/'Sch AL-TOU Cust Fcst'!E9)</f>
        <v>0</v>
      </c>
      <c r="R10" s="23">
        <f t="shared" si="1"/>
        <v>0</v>
      </c>
      <c r="S10" s="23">
        <f t="shared" si="0"/>
        <v>0</v>
      </c>
      <c r="T10" s="23">
        <f t="shared" si="0"/>
        <v>0</v>
      </c>
      <c r="U10" s="45">
        <f>IF(SUM(R10:T10)=0,0,SUM(R10:T10)/'Sch AL-TOU Cust Fcst'!F9)</f>
        <v>0</v>
      </c>
    </row>
    <row r="11" spans="1:23">
      <c r="A11" s="155" t="s">
        <v>116</v>
      </c>
      <c r="B11" s="137">
        <f>'Sch OL-TOU Cust Fcst'!$B10*'Non-Residential TSM UC Adj'!B11</f>
        <v>0</v>
      </c>
      <c r="C11" s="23">
        <f>'Sch OL-TOU Cust Fcst'!$B10*'Non-Residential TSM UC Adj'!C11</f>
        <v>0</v>
      </c>
      <c r="D11" s="23">
        <f>'Sch OL-TOU Cust Fcst'!$B10*'Non-Residential TSM UC Adj'!D11</f>
        <v>0</v>
      </c>
      <c r="E11" s="45">
        <f>IF(SUM(B11:D11)=0,0,SUM(B11:D11)/'Sch AL-TOU Cust Fcst'!B10)</f>
        <v>0</v>
      </c>
      <c r="F11" s="137">
        <f>'Sch OL-TOU Cust Fcst'!$C10*'Non-Residential TSM UC Adj'!F11</f>
        <v>0</v>
      </c>
      <c r="G11" s="23">
        <f>'Sch OL-TOU Cust Fcst'!$C10*'Non-Residential TSM UC Adj'!G11</f>
        <v>0</v>
      </c>
      <c r="H11" s="23">
        <f>'Sch OL-TOU Cust Fcst'!$C10*'Non-Residential TSM UC Adj'!H11</f>
        <v>0</v>
      </c>
      <c r="I11" s="45">
        <f>IF(SUM(F11:H11)=0,0,SUM(F11:H11)/'Sch AL-TOU Cust Fcst'!C10)</f>
        <v>0</v>
      </c>
      <c r="J11" s="137">
        <f>'Sch OL-TOU Cust Fcst'!$D10*'Non-Residential TSM UC Adj'!J11</f>
        <v>0</v>
      </c>
      <c r="K11" s="23">
        <f>'Sch OL-TOU Cust Fcst'!$D10*'Non-Residential TSM UC Adj'!K11</f>
        <v>0</v>
      </c>
      <c r="L11" s="23">
        <f>'Sch OL-TOU Cust Fcst'!$D10*'Non-Residential TSM UC Adj'!L11</f>
        <v>0</v>
      </c>
      <c r="M11" s="45">
        <f>IF(SUM(J11:L11)=0,0,SUM(J11:L11)/'Sch AL-TOU Cust Fcst'!D10)</f>
        <v>0</v>
      </c>
      <c r="N11" s="137">
        <f>'Sch OL-TOU Cust Fcst'!$E10*'Non-Residential TSM UC Adj'!N11</f>
        <v>0</v>
      </c>
      <c r="O11" s="23">
        <f>'Sch OL-TOU Cust Fcst'!$E10*'Non-Residential TSM UC Adj'!O11</f>
        <v>0</v>
      </c>
      <c r="P11" s="23">
        <f>'Sch OL-TOU Cust Fcst'!$E10*'Non-Residential TSM UC Adj'!P11</f>
        <v>0</v>
      </c>
      <c r="Q11" s="45">
        <f>IF(SUM(N11:P11)=0,0,SUM(N11:P11)/'Sch AL-TOU Cust Fcst'!E10)</f>
        <v>0</v>
      </c>
      <c r="R11" s="23">
        <f t="shared" si="1"/>
        <v>0</v>
      </c>
      <c r="S11" s="23">
        <f t="shared" si="0"/>
        <v>0</v>
      </c>
      <c r="T11" s="23">
        <f t="shared" si="0"/>
        <v>0</v>
      </c>
      <c r="U11" s="45">
        <f>IF(SUM(R11:T11)=0,0,SUM(R11:T11)/'Sch AL-TOU Cust Fcst'!F10)</f>
        <v>0</v>
      </c>
    </row>
    <row r="12" spans="1:23">
      <c r="A12" s="155" t="s">
        <v>8</v>
      </c>
      <c r="B12" s="137">
        <f>'Sch OL-TOU Cust Fcst'!$B11*'Non-Residential TSM UC Adj'!B12</f>
        <v>0</v>
      </c>
      <c r="C12" s="23">
        <f>'Sch OL-TOU Cust Fcst'!$B11*'Non-Residential TSM UC Adj'!C12</f>
        <v>0</v>
      </c>
      <c r="D12" s="23">
        <f>'Sch OL-TOU Cust Fcst'!$B11*'Non-Residential TSM UC Adj'!D12</f>
        <v>0</v>
      </c>
      <c r="E12" s="45">
        <f>IF(SUM(B12:D12)=0,0,SUM(B12:D12)/'Sch AL-TOU Cust Fcst'!B11)</f>
        <v>0</v>
      </c>
      <c r="F12" s="137">
        <f>'Sch OL-TOU Cust Fcst'!$C11*'Non-Residential TSM UC Adj'!F12</f>
        <v>0</v>
      </c>
      <c r="G12" s="23">
        <f>'Sch OL-TOU Cust Fcst'!$C11*'Non-Residential TSM UC Adj'!G12</f>
        <v>0</v>
      </c>
      <c r="H12" s="23">
        <f>'Sch OL-TOU Cust Fcst'!$C11*'Non-Residential TSM UC Adj'!H12</f>
        <v>0</v>
      </c>
      <c r="I12" s="45">
        <f>IF(SUM(F12:H12)=0,0,SUM(F12:H12)/'Sch AL-TOU Cust Fcst'!C11)</f>
        <v>0</v>
      </c>
      <c r="J12" s="137">
        <f>'Sch OL-TOU Cust Fcst'!$D11*'Non-Residential TSM UC Adj'!J12</f>
        <v>0</v>
      </c>
      <c r="K12" s="23">
        <f>'Sch OL-TOU Cust Fcst'!$D11*'Non-Residential TSM UC Adj'!K12</f>
        <v>0</v>
      </c>
      <c r="L12" s="23">
        <f>'Sch OL-TOU Cust Fcst'!$D11*'Non-Residential TSM UC Adj'!L12</f>
        <v>0</v>
      </c>
      <c r="M12" s="45">
        <f>IF(SUM(J12:L12)=0,0,SUM(J12:L12)/'Sch AL-TOU Cust Fcst'!D11)</f>
        <v>0</v>
      </c>
      <c r="N12" s="137">
        <f>'Sch OL-TOU Cust Fcst'!$E11*'Non-Residential TSM UC Adj'!N12</f>
        <v>5836.7948491438538</v>
      </c>
      <c r="O12" s="23">
        <f>'Sch OL-TOU Cust Fcst'!$E11*'Non-Residential TSM UC Adj'!O12</f>
        <v>935.23510714228996</v>
      </c>
      <c r="P12" s="23">
        <f>'Sch OL-TOU Cust Fcst'!$E11*'Non-Residential TSM UC Adj'!P12</f>
        <v>301.76349896014176</v>
      </c>
      <c r="Q12" s="45">
        <f>IF(SUM(N12:P12)=0,0,SUM(N12:P12)/'Sch AL-TOU Cust Fcst'!E11)</f>
        <v>5.9998248136100809</v>
      </c>
      <c r="R12" s="23">
        <f t="shared" si="1"/>
        <v>5836.7948491438538</v>
      </c>
      <c r="S12" s="23">
        <f t="shared" si="0"/>
        <v>935.23510714228996</v>
      </c>
      <c r="T12" s="23">
        <f t="shared" si="0"/>
        <v>301.76349896014176</v>
      </c>
      <c r="U12" s="45">
        <f>IF(SUM(R12:T12)=0,0,SUM(R12:T12)/'Sch AL-TOU Cust Fcst'!F11)</f>
        <v>1.1334391051508228</v>
      </c>
    </row>
    <row r="13" spans="1:23">
      <c r="A13" s="155" t="s">
        <v>9</v>
      </c>
      <c r="B13" s="137">
        <f>'Sch OL-TOU Cust Fcst'!$B12*'Non-Residential TSM UC Adj'!B13</f>
        <v>10300.161757954345</v>
      </c>
      <c r="C13" s="23">
        <f>'Sch OL-TOU Cust Fcst'!$B12*'Non-Residential TSM UC Adj'!C13</f>
        <v>1342.6020472001737</v>
      </c>
      <c r="D13" s="23">
        <f>'Sch OL-TOU Cust Fcst'!$B12*'Non-Residential TSM UC Adj'!D13</f>
        <v>468.59946312075175</v>
      </c>
      <c r="E13" s="45">
        <f>IF(SUM(B13:D13)=0,0,SUM(B13:D13)/'Sch AL-TOU Cust Fcst'!B12)</f>
        <v>155.27388805481115</v>
      </c>
      <c r="F13" s="137">
        <f>'Sch OL-TOU Cust Fcst'!$C12*'Non-Residential TSM UC Adj'!F13</f>
        <v>0</v>
      </c>
      <c r="G13" s="23">
        <f>'Sch OL-TOU Cust Fcst'!$C12*'Non-Residential TSM UC Adj'!G13</f>
        <v>0</v>
      </c>
      <c r="H13" s="23">
        <f>'Sch OL-TOU Cust Fcst'!$C12*'Non-Residential TSM UC Adj'!H13</f>
        <v>0</v>
      </c>
      <c r="I13" s="45">
        <f>IF(SUM(F13:H13)=0,0,SUM(F13:H13)/'Sch AL-TOU Cust Fcst'!C12)</f>
        <v>0</v>
      </c>
      <c r="J13" s="137">
        <f>'Sch OL-TOU Cust Fcst'!$D12*'Non-Residential TSM UC Adj'!J13</f>
        <v>29688.58975913603</v>
      </c>
      <c r="K13" s="23">
        <f>'Sch OL-TOU Cust Fcst'!$D12*'Non-Residential TSM UC Adj'!K13</f>
        <v>2881.0998696806532</v>
      </c>
      <c r="L13" s="23">
        <f>'Sch OL-TOU Cust Fcst'!$D12*'Non-Residential TSM UC Adj'!L13</f>
        <v>603.52699792028352</v>
      </c>
      <c r="M13" s="45">
        <f>IF(SUM(J13:L13)=0,0,SUM(J13:L13)/'Sch AL-TOU Cust Fcst'!D12)</f>
        <v>17.883135647836642</v>
      </c>
      <c r="N13" s="137">
        <f>'Sch OL-TOU Cust Fcst'!$E12*'Non-Residential TSM UC Adj'!N13</f>
        <v>26265.576821147341</v>
      </c>
      <c r="O13" s="23">
        <f>'Sch OL-TOU Cust Fcst'!$E12*'Non-Residential TSM UC Adj'!O13</f>
        <v>2805.7053214268699</v>
      </c>
      <c r="P13" s="23">
        <f>'Sch OL-TOU Cust Fcst'!$E12*'Non-Residential TSM UC Adj'!P13</f>
        <v>905.29049688042528</v>
      </c>
      <c r="Q13" s="45">
        <f>IF(SUM(N13:P13)=0,0,SUM(N13:P13)/'Sch AL-TOU Cust Fcst'!E12)</f>
        <v>38.729422014799269</v>
      </c>
      <c r="R13" s="23">
        <f t="shared" si="1"/>
        <v>66254.328338237712</v>
      </c>
      <c r="S13" s="23">
        <f t="shared" si="0"/>
        <v>7029.4072383076973</v>
      </c>
      <c r="T13" s="23">
        <f t="shared" si="0"/>
        <v>1977.4169579214606</v>
      </c>
      <c r="U13" s="45">
        <f>IF(SUM(R13:T13)=0,0,SUM(R13:T13)/'Sch AL-TOU Cust Fcst'!F12)</f>
        <v>26.241684984123737</v>
      </c>
    </row>
    <row r="14" spans="1:23">
      <c r="A14" s="155" t="s">
        <v>10</v>
      </c>
      <c r="B14" s="137">
        <f>'Sch OL-TOU Cust Fcst'!$B13*'Non-Residential TSM UC Adj'!B14</f>
        <v>0</v>
      </c>
      <c r="C14" s="23">
        <f>'Sch OL-TOU Cust Fcst'!$B13*'Non-Residential TSM UC Adj'!C14</f>
        <v>0</v>
      </c>
      <c r="D14" s="23">
        <f>'Sch OL-TOU Cust Fcst'!$B13*'Non-Residential TSM UC Adj'!D14</f>
        <v>0</v>
      </c>
      <c r="E14" s="45">
        <f>IF(SUM(B14:D14)=0,0,SUM(B14:D14)/'Sch AL-TOU Cust Fcst'!B13)</f>
        <v>0</v>
      </c>
      <c r="F14" s="137">
        <f>'Sch OL-TOU Cust Fcst'!$C13*'Non-Residential TSM UC Adj'!F14</f>
        <v>0</v>
      </c>
      <c r="G14" s="23">
        <f>'Sch OL-TOU Cust Fcst'!$C13*'Non-Residential TSM UC Adj'!G14</f>
        <v>0</v>
      </c>
      <c r="H14" s="23">
        <f>'Sch OL-TOU Cust Fcst'!$C13*'Non-Residential TSM UC Adj'!H14</f>
        <v>0</v>
      </c>
      <c r="I14" s="45">
        <f>IF(SUM(F14:H14)=0,0,SUM(F14:H14)/'Sch AL-TOU Cust Fcst'!C13)</f>
        <v>0</v>
      </c>
      <c r="J14" s="137">
        <f>'Sch OL-TOU Cust Fcst'!$D13*'Non-Residential TSM UC Adj'!J14</f>
        <v>8597.5391843563593</v>
      </c>
      <c r="K14" s="23">
        <f>'Sch OL-TOU Cust Fcst'!$D13*'Non-Residential TSM UC Adj'!K14</f>
        <v>1440.5499348403266</v>
      </c>
      <c r="L14" s="23">
        <f>'Sch OL-TOU Cust Fcst'!$D13*'Non-Residential TSM UC Adj'!L14</f>
        <v>301.76349896014176</v>
      </c>
      <c r="M14" s="45">
        <f>IF(SUM(J14:L14)=0,0,SUM(J14:L14)/'Sch AL-TOU Cust Fcst'!D13)</f>
        <v>11.387502883432628</v>
      </c>
      <c r="N14" s="137">
        <f>'Sch OL-TOU Cust Fcst'!$E13*'Non-Residential TSM UC Adj'!N14</f>
        <v>0</v>
      </c>
      <c r="O14" s="23">
        <f>'Sch OL-TOU Cust Fcst'!$E13*'Non-Residential TSM UC Adj'!O14</f>
        <v>0</v>
      </c>
      <c r="P14" s="23">
        <f>'Sch OL-TOU Cust Fcst'!$E13*'Non-Residential TSM UC Adj'!P14</f>
        <v>0</v>
      </c>
      <c r="Q14" s="45">
        <f>IF(SUM(N14:P14)=0,0,SUM(N14:P14)/'Sch AL-TOU Cust Fcst'!E13)</f>
        <v>0</v>
      </c>
      <c r="R14" s="23">
        <f t="shared" si="1"/>
        <v>8597.5391843563593</v>
      </c>
      <c r="S14" s="23">
        <f t="shared" si="0"/>
        <v>1440.5499348403266</v>
      </c>
      <c r="T14" s="23">
        <f t="shared" si="0"/>
        <v>301.76349896014176</v>
      </c>
      <c r="U14" s="45">
        <f>IF(SUM(R14:T14)=0,0,SUM(R14:T14)/'Sch AL-TOU Cust Fcst'!F13)</f>
        <v>6.6579862319103844</v>
      </c>
    </row>
    <row r="15" spans="1:23">
      <c r="A15" s="155" t="s">
        <v>11</v>
      </c>
      <c r="B15" s="137">
        <f>'Sch OL-TOU Cust Fcst'!$B14*'Non-Residential TSM UC Adj'!B15</f>
        <v>0</v>
      </c>
      <c r="C15" s="23">
        <f>'Sch OL-TOU Cust Fcst'!$B14*'Non-Residential TSM UC Adj'!C15</f>
        <v>0</v>
      </c>
      <c r="D15" s="23">
        <f>'Sch OL-TOU Cust Fcst'!$B14*'Non-Residential TSM UC Adj'!D15</f>
        <v>0</v>
      </c>
      <c r="E15" s="45">
        <f>IF(SUM(B15:D15)=0,0,SUM(B15:D15)/'Sch AL-TOU Cust Fcst'!B14)</f>
        <v>0</v>
      </c>
      <c r="F15" s="137">
        <f>'Sch OL-TOU Cust Fcst'!$C14*'Non-Residential TSM UC Adj'!F15</f>
        <v>0</v>
      </c>
      <c r="G15" s="23">
        <f>'Sch OL-TOU Cust Fcst'!$C14*'Non-Residential TSM UC Adj'!G15</f>
        <v>0</v>
      </c>
      <c r="H15" s="23">
        <f>'Sch OL-TOU Cust Fcst'!$C14*'Non-Residential TSM UC Adj'!H15</f>
        <v>0</v>
      </c>
      <c r="I15" s="45">
        <f>IF(SUM(F15:H15)=0,0,SUM(F15:H15)/'Sch AL-TOU Cust Fcst'!C14)</f>
        <v>0</v>
      </c>
      <c r="J15" s="137">
        <f>'Sch OL-TOU Cust Fcst'!$D14*'Non-Residential TSM UC Adj'!J15</f>
        <v>51585.235106138156</v>
      </c>
      <c r="K15" s="23">
        <f>'Sch OL-TOU Cust Fcst'!$D14*'Non-Residential TSM UC Adj'!K15</f>
        <v>8643.2996090419601</v>
      </c>
      <c r="L15" s="23">
        <f>'Sch OL-TOU Cust Fcst'!$D14*'Non-Residential TSM UC Adj'!L15</f>
        <v>2597.0275508744826</v>
      </c>
      <c r="M15" s="45">
        <f>IF(SUM(J15:L15)=0,0,SUM(J15:L15)/'Sch AL-TOU Cust Fcst'!D14)</f>
        <v>78.630240633359946</v>
      </c>
      <c r="N15" s="137">
        <f>'Sch OL-TOU Cust Fcst'!$E14*'Non-Residential TSM UC Adj'!N15</f>
        <v>105062.30728458936</v>
      </c>
      <c r="O15" s="23">
        <f>'Sch OL-TOU Cust Fcst'!$E14*'Non-Residential TSM UC Adj'!O15</f>
        <v>8643.2996090419601</v>
      </c>
      <c r="P15" s="23">
        <f>'Sch OL-TOU Cust Fcst'!$E14*'Non-Residential TSM UC Adj'!P15</f>
        <v>5194.0551017489652</v>
      </c>
      <c r="Q15" s="45">
        <f>IF(SUM(N15:P15)=0,0,SUM(N15:P15)/'Sch AL-TOU Cust Fcst'!E14)</f>
        <v>157.48299602037125</v>
      </c>
      <c r="R15" s="23">
        <f t="shared" si="1"/>
        <v>156647.54239072753</v>
      </c>
      <c r="S15" s="23">
        <f t="shared" si="0"/>
        <v>17286.59921808392</v>
      </c>
      <c r="T15" s="23">
        <f t="shared" si="0"/>
        <v>7791.0826526234478</v>
      </c>
      <c r="U15" s="45">
        <f>IF(SUM(R15:T15)=0,0,SUM(R15:T15)/'Sch AL-TOU Cust Fcst'!F14)</f>
        <v>115.01596472242714</v>
      </c>
      <c r="W15" s="18"/>
    </row>
    <row r="16" spans="1:23">
      <c r="A16" s="155" t="s">
        <v>120</v>
      </c>
      <c r="B16" s="137">
        <f>'Sch OL-TOU Cust Fcst'!$B15*'Non-Residential TSM UC Adj'!B16</f>
        <v>0</v>
      </c>
      <c r="C16" s="23">
        <f>'Sch OL-TOU Cust Fcst'!$B15*'Non-Residential TSM UC Adj'!C16</f>
        <v>0</v>
      </c>
      <c r="D16" s="23">
        <f>'Sch OL-TOU Cust Fcst'!$B15*'Non-Residential TSM UC Adj'!D16</f>
        <v>0</v>
      </c>
      <c r="E16" s="45">
        <f>IF(SUM(B16:D16)=0,0,SUM(B16:D16)/'Sch AL-TOU Cust Fcst'!B15)</f>
        <v>0</v>
      </c>
      <c r="F16" s="137">
        <f>'Sch OL-TOU Cust Fcst'!$C15*'Non-Residential TSM UC Adj'!F16</f>
        <v>0</v>
      </c>
      <c r="G16" s="23">
        <f>'Sch OL-TOU Cust Fcst'!$C15*'Non-Residential TSM UC Adj'!G16</f>
        <v>0</v>
      </c>
      <c r="H16" s="23">
        <f>'Sch OL-TOU Cust Fcst'!$C15*'Non-Residential TSM UC Adj'!H16</f>
        <v>0</v>
      </c>
      <c r="I16" s="45">
        <f>IF(SUM(F16:H16)=0,0,SUM(F16:H16)/'Sch AL-TOU Cust Fcst'!C15)</f>
        <v>0</v>
      </c>
      <c r="J16" s="137">
        <f>'Sch OL-TOU Cust Fcst'!$D15*'Non-Residential TSM UC Adj'!J16</f>
        <v>0</v>
      </c>
      <c r="K16" s="23">
        <f>'Sch OL-TOU Cust Fcst'!$D15*'Non-Residential TSM UC Adj'!K16</f>
        <v>0</v>
      </c>
      <c r="L16" s="23">
        <f>'Sch OL-TOU Cust Fcst'!$D15*'Non-Residential TSM UC Adj'!L16</f>
        <v>0</v>
      </c>
      <c r="M16" s="45">
        <f>IF(SUM(J16:L16)=0,0,SUM(J16:L16)/'Sch AL-TOU Cust Fcst'!D15)</f>
        <v>0</v>
      </c>
      <c r="N16" s="137">
        <f>'Sch OL-TOU Cust Fcst'!$E15*'Non-Residential TSM UC Adj'!N16</f>
        <v>18343.010771059078</v>
      </c>
      <c r="O16" s="23">
        <f>'Sch OL-TOU Cust Fcst'!$E15*'Non-Residential TSM UC Adj'!O16</f>
        <v>3881.3806159244828</v>
      </c>
      <c r="P16" s="23">
        <f>'Sch OL-TOU Cust Fcst'!$E15*'Non-Residential TSM UC Adj'!P16</f>
        <v>1731.3517005829883</v>
      </c>
      <c r="Q16" s="45">
        <f>IF(SUM(N16:P16)=0,0,SUM(N16:P16)/'Sch AL-TOU Cust Fcst'!E15)</f>
        <v>46.425858696834396</v>
      </c>
      <c r="R16" s="23">
        <f t="shared" si="1"/>
        <v>18343.010771059078</v>
      </c>
      <c r="S16" s="23">
        <f t="shared" si="0"/>
        <v>3881.3806159244828</v>
      </c>
      <c r="T16" s="23">
        <f t="shared" si="0"/>
        <v>1731.3517005829883</v>
      </c>
      <c r="U16" s="45">
        <f>IF(SUM(R16:T16)=0,0,SUM(R16:T16)/'Sch AL-TOU Cust Fcst'!F15)</f>
        <v>29.285749495802627</v>
      </c>
    </row>
    <row r="17" spans="1:21">
      <c r="A17" s="155" t="s">
        <v>121</v>
      </c>
      <c r="B17" s="137">
        <f>'Sch OL-TOU Cust Fcst'!$B16*'Non-Residential TSM UC Adj'!J17</f>
        <v>0</v>
      </c>
      <c r="C17" s="23">
        <f>'Sch OL-TOU Cust Fcst'!$B16*'Non-Residential TSM UC Adj'!K17</f>
        <v>0</v>
      </c>
      <c r="D17" s="23">
        <f>'Sch OL-TOU Cust Fcst'!$B16*'Non-Residential TSM UC Adj'!L17</f>
        <v>0</v>
      </c>
      <c r="E17" s="45">
        <f>IF(SUM(B17:D17)=0,0,SUM(B17:D17)/'Sch AL-TOU Cust Fcst'!B16)</f>
        <v>0</v>
      </c>
      <c r="F17" s="137">
        <f>'Sch OL-TOU Cust Fcst'!$C16*'Non-Residential TSM UC Adj'!F17</f>
        <v>0</v>
      </c>
      <c r="G17" s="23">
        <f>'Sch OL-TOU Cust Fcst'!$C16*'Non-Residential TSM UC Adj'!G17</f>
        <v>0</v>
      </c>
      <c r="H17" s="23">
        <f>'Sch OL-TOU Cust Fcst'!$C16*'Non-Residential TSM UC Adj'!H17</f>
        <v>0</v>
      </c>
      <c r="I17" s="45">
        <f>IF(SUM(F17:H17)=0,0,SUM(F17:H17)/'Sch AL-TOU Cust Fcst'!C16)</f>
        <v>0</v>
      </c>
      <c r="J17" s="137">
        <f>'Sch OL-TOU Cust Fcst'!$D16*'Non-Residential TSM UC Adj'!J17</f>
        <v>0</v>
      </c>
      <c r="K17" s="23">
        <f>'Sch OL-TOU Cust Fcst'!$D16*'Non-Residential TSM UC Adj'!K17</f>
        <v>0</v>
      </c>
      <c r="L17" s="23">
        <f>'Sch OL-TOU Cust Fcst'!$D16*'Non-Residential TSM UC Adj'!L17</f>
        <v>0</v>
      </c>
      <c r="M17" s="45">
        <f>IF(SUM(J17:L17)=0,0,SUM(J17:L17)/'Sch AL-TOU Cust Fcst'!D16)</f>
        <v>0</v>
      </c>
      <c r="N17" s="137">
        <f>'Sch OL-TOU Cust Fcst'!$E16*'Non-Residential TSM UC Adj'!N17</f>
        <v>45857.526927647697</v>
      </c>
      <c r="O17" s="23">
        <f>'Sch OL-TOU Cust Fcst'!$E16*'Non-Residential TSM UC Adj'!O17</f>
        <v>9703.4515398112071</v>
      </c>
      <c r="P17" s="23">
        <f>'Sch OL-TOU Cust Fcst'!$E16*'Non-Residential TSM UC Adj'!P17</f>
        <v>4328.3792514574707</v>
      </c>
      <c r="Q17" s="45">
        <f>IF(SUM(N17:P17)=0,0,SUM(N17:P17)/'Sch AL-TOU Cust Fcst'!E16)</f>
        <v>179.84792107782695</v>
      </c>
      <c r="R17" s="23">
        <f t="shared" si="1"/>
        <v>45857.526927647697</v>
      </c>
      <c r="S17" s="23">
        <f t="shared" si="0"/>
        <v>9703.4515398112071</v>
      </c>
      <c r="T17" s="23">
        <f t="shared" si="0"/>
        <v>4328.3792514574707</v>
      </c>
      <c r="U17" s="45">
        <f>IF(SUM(R17:T17)=0,0,SUM(R17:T17)/'Sch AL-TOU Cust Fcst'!F16)</f>
        <v>133.08746159759195</v>
      </c>
    </row>
    <row r="18" spans="1:21">
      <c r="A18" s="155" t="s">
        <v>12</v>
      </c>
      <c r="B18" s="137">
        <f>'Sch OL-TOU Cust Fcst'!$B17*'Non-Residential TSM UC Adj'!J18</f>
        <v>0</v>
      </c>
      <c r="C18" s="23">
        <f>'Sch OL-TOU Cust Fcst'!$B17*'Non-Residential TSM UC Adj'!K18</f>
        <v>0</v>
      </c>
      <c r="D18" s="23">
        <f>'Sch OL-TOU Cust Fcst'!$B17*'Non-Residential TSM UC Adj'!L18</f>
        <v>0</v>
      </c>
      <c r="E18" s="45">
        <f>IF(SUM(B18:D18)=0,0,SUM(B18:D18)/'Sch AL-TOU Cust Fcst'!B17)</f>
        <v>0</v>
      </c>
      <c r="F18" s="137">
        <f>'Sch OL-TOU Cust Fcst'!$C17*'Non-Residential TSM UC Adj'!J18</f>
        <v>0</v>
      </c>
      <c r="G18" s="23">
        <f>'Sch OL-TOU Cust Fcst'!$C17*'Non-Residential TSM UC Adj'!K18</f>
        <v>0</v>
      </c>
      <c r="H18" s="23">
        <f>'Sch OL-TOU Cust Fcst'!$C17*'Non-Residential TSM UC Adj'!L18</f>
        <v>0</v>
      </c>
      <c r="I18" s="45">
        <f>IF(SUM(F18:H18)=0,0,SUM(F18:H18)/'Sch AL-TOU Cust Fcst'!C17)</f>
        <v>0</v>
      </c>
      <c r="J18" s="137">
        <f>'Sch OL-TOU Cust Fcst'!$D17*'Non-Residential TSM UC Adj'!J18</f>
        <v>0</v>
      </c>
      <c r="K18" s="23">
        <f>'Sch OL-TOU Cust Fcst'!$D17*'Non-Residential TSM UC Adj'!K18</f>
        <v>0</v>
      </c>
      <c r="L18" s="23">
        <f>'Sch OL-TOU Cust Fcst'!$D17*'Non-Residential TSM UC Adj'!L18</f>
        <v>0</v>
      </c>
      <c r="M18" s="45">
        <f>IF(SUM(J18:L18)=0,0,SUM(J18:L18)/'Sch AL-TOU Cust Fcst'!D17)</f>
        <v>0</v>
      </c>
      <c r="N18" s="137">
        <f>'Sch OL-TOU Cust Fcst'!$E17*'Non-Residential TSM UC Adj'!N18</f>
        <v>55029.032313177231</v>
      </c>
      <c r="O18" s="23">
        <f>'Sch OL-TOU Cust Fcst'!$E17*'Non-Residential TSM UC Adj'!O18</f>
        <v>9498.5730152662527</v>
      </c>
      <c r="P18" s="23">
        <f>'Sch OL-TOU Cust Fcst'!$E17*'Non-Residential TSM UC Adj'!P18</f>
        <v>2597.0275508744826</v>
      </c>
      <c r="Q18" s="45">
        <f>IF(SUM(N18:P18)=0,0,SUM(N18:P18)/'Sch AL-TOU Cust Fcst'!E17)</f>
        <v>155.38109462805085</v>
      </c>
      <c r="R18" s="23">
        <f t="shared" si="1"/>
        <v>55029.032313177231</v>
      </c>
      <c r="S18" s="23">
        <f t="shared" si="0"/>
        <v>9498.5730152662527</v>
      </c>
      <c r="T18" s="23">
        <f t="shared" si="0"/>
        <v>2597.0275508744826</v>
      </c>
      <c r="U18" s="45">
        <f>IF(SUM(R18:T18)=0,0,SUM(R18:T18)/'Sch AL-TOU Cust Fcst'!F17)</f>
        <v>124.99931634882304</v>
      </c>
    </row>
    <row r="19" spans="1:21">
      <c r="A19" s="155" t="s">
        <v>13</v>
      </c>
      <c r="B19" s="137">
        <f>'Sch OL-TOU Cust Fcst'!$B18*'Non-Residential TSM UC Adj'!J19</f>
        <v>0</v>
      </c>
      <c r="C19" s="23">
        <f>'Sch OL-TOU Cust Fcst'!$B18*'Non-Residential TSM UC Adj'!K19</f>
        <v>0</v>
      </c>
      <c r="D19" s="23">
        <f>'Sch OL-TOU Cust Fcst'!$B18*'Non-Residential TSM UC Adj'!L19</f>
        <v>0</v>
      </c>
      <c r="E19" s="45">
        <f>IF(SUM(B19:D19)=0,0,SUM(B19:D19)/'Sch AL-TOU Cust Fcst'!B18)</f>
        <v>0</v>
      </c>
      <c r="F19" s="137">
        <f>'Sch OL-TOU Cust Fcst'!$C18*'Non-Residential TSM UC Adj'!J19</f>
        <v>0</v>
      </c>
      <c r="G19" s="23">
        <f>'Sch OL-TOU Cust Fcst'!$C18*'Non-Residential TSM UC Adj'!K19</f>
        <v>0</v>
      </c>
      <c r="H19" s="23">
        <f>'Sch OL-TOU Cust Fcst'!$C18*'Non-Residential TSM UC Adj'!L19</f>
        <v>0</v>
      </c>
      <c r="I19" s="45">
        <f>IF(SUM(F19:H19)=0,0,SUM(F19:H19)/'Sch AL-TOU Cust Fcst'!C18)</f>
        <v>0</v>
      </c>
      <c r="J19" s="137">
        <f>'Sch OL-TOU Cust Fcst'!$D18*'Non-Residential TSM UC Adj'!J19</f>
        <v>0</v>
      </c>
      <c r="K19" s="23">
        <f>'Sch OL-TOU Cust Fcst'!$D18*'Non-Residential TSM UC Adj'!K19</f>
        <v>0</v>
      </c>
      <c r="L19" s="23">
        <f>'Sch OL-TOU Cust Fcst'!$D18*'Non-Residential TSM UC Adj'!L19</f>
        <v>0</v>
      </c>
      <c r="M19" s="45">
        <f>IF(SUM(J19:L19)=0,0,SUM(J19:L19)/'Sch AL-TOU Cust Fcst'!D18)</f>
        <v>0</v>
      </c>
      <c r="N19" s="137">
        <f>'Sch OL-TOU Cust Fcst'!$E18*'Non-Residential TSM UC Adj'!N19</f>
        <v>0</v>
      </c>
      <c r="O19" s="23">
        <f>'Sch OL-TOU Cust Fcst'!$E18*'Non-Residential TSM UC Adj'!O19</f>
        <v>0</v>
      </c>
      <c r="P19" s="23">
        <f>'Sch OL-TOU Cust Fcst'!$E18*'Non-Residential TSM UC Adj'!P19</f>
        <v>0</v>
      </c>
      <c r="Q19" s="45">
        <f>IF(SUM(N19:P19)=0,0,SUM(N19:P19)/'Sch AL-TOU Cust Fcst'!E18)</f>
        <v>0</v>
      </c>
      <c r="R19" s="23">
        <f t="shared" si="1"/>
        <v>0</v>
      </c>
      <c r="S19" s="23">
        <f t="shared" si="0"/>
        <v>0</v>
      </c>
      <c r="T19" s="23">
        <f t="shared" si="0"/>
        <v>0</v>
      </c>
      <c r="U19" s="45">
        <f>IF(SUM(R19:T19)=0,0,SUM(R19:T19)/'Sch AL-TOU Cust Fcst'!F18)</f>
        <v>0</v>
      </c>
    </row>
    <row r="20" spans="1:21">
      <c r="A20" s="155" t="s">
        <v>122</v>
      </c>
      <c r="B20" s="137">
        <f>'Sch OL-TOU Cust Fcst'!$B19*'Non-Residential TSM UC Adj'!J20</f>
        <v>0</v>
      </c>
      <c r="C20" s="23">
        <f>'Sch OL-TOU Cust Fcst'!$B19*'Non-Residential TSM UC Adj'!K20</f>
        <v>0</v>
      </c>
      <c r="D20" s="23">
        <f>'Sch OL-TOU Cust Fcst'!$B19*'Non-Residential TSM UC Adj'!L20</f>
        <v>0</v>
      </c>
      <c r="E20" s="45">
        <f>IF(SUM(B20:D20)=0,0,SUM(B20:D20)/'Sch AL-TOU Cust Fcst'!B19)</f>
        <v>0</v>
      </c>
      <c r="F20" s="137">
        <f>'Sch OL-TOU Cust Fcst'!$C19*'Non-Residential TSM UC Adj'!J20</f>
        <v>0</v>
      </c>
      <c r="G20" s="23">
        <f>'Sch OL-TOU Cust Fcst'!$C19*'Non-Residential TSM UC Adj'!K20</f>
        <v>0</v>
      </c>
      <c r="H20" s="23">
        <f>'Sch OL-TOU Cust Fcst'!$C19*'Non-Residential TSM UC Adj'!L20</f>
        <v>0</v>
      </c>
      <c r="I20" s="45">
        <f>IF(SUM(F20:H20)=0,0,SUM(F20:H20)/'Sch AL-TOU Cust Fcst'!C19)</f>
        <v>0</v>
      </c>
      <c r="J20" s="137">
        <f>'Sch OL-TOU Cust Fcst'!$D19*'Non-Residential TSM UC Adj'!J20</f>
        <v>0</v>
      </c>
      <c r="K20" s="23">
        <f>'Sch OL-TOU Cust Fcst'!$D19*'Non-Residential TSM UC Adj'!K20</f>
        <v>0</v>
      </c>
      <c r="L20" s="23">
        <f>'Sch OL-TOU Cust Fcst'!$D19*'Non-Residential TSM UC Adj'!L20</f>
        <v>0</v>
      </c>
      <c r="M20" s="45">
        <f>IF(SUM(J20:L20)=0,0,SUM(J20:L20)/'Sch AL-TOU Cust Fcst'!D19)</f>
        <v>0</v>
      </c>
      <c r="N20" s="137">
        <f>'Sch OL-TOU Cust Fcst'!$E19*'Non-Residential TSM UC Adj'!N20</f>
        <v>0</v>
      </c>
      <c r="O20" s="23">
        <f>'Sch OL-TOU Cust Fcst'!$E19*'Non-Residential TSM UC Adj'!O20</f>
        <v>0</v>
      </c>
      <c r="P20" s="23">
        <f>'Sch OL-TOU Cust Fcst'!$E19*'Non-Residential TSM UC Adj'!P20</f>
        <v>0</v>
      </c>
      <c r="Q20" s="45">
        <f>IF(SUM(N20:P20)=0,0,SUM(N20:P20)/'Sch AL-TOU Cust Fcst'!E19)</f>
        <v>0</v>
      </c>
      <c r="R20" s="23">
        <f t="shared" si="1"/>
        <v>0</v>
      </c>
      <c r="S20" s="23">
        <f t="shared" si="0"/>
        <v>0</v>
      </c>
      <c r="T20" s="23">
        <f t="shared" si="0"/>
        <v>0</v>
      </c>
      <c r="U20" s="45">
        <f>IF(SUM(R20:T20)=0,0,SUM(R20:T20)/'Sch AL-TOU Cust Fcst'!F19)</f>
        <v>0</v>
      </c>
    </row>
    <row r="21" spans="1:21">
      <c r="A21" s="155" t="s">
        <v>123</v>
      </c>
      <c r="B21" s="137">
        <f>'Sch OL-TOU Cust Fcst'!$B20*'Non-Residential TSM UC Adj'!J21</f>
        <v>0</v>
      </c>
      <c r="C21" s="23">
        <f>'Sch OL-TOU Cust Fcst'!$B20*'Non-Residential TSM UC Adj'!K21</f>
        <v>0</v>
      </c>
      <c r="D21" s="23">
        <f>'Sch OL-TOU Cust Fcst'!$B20*'Non-Residential TSM UC Adj'!L21</f>
        <v>0</v>
      </c>
      <c r="E21" s="45">
        <f>IF(SUM(B21:D21)=0,0,SUM(B21:D21)/'Sch AL-TOU Cust Fcst'!B20)</f>
        <v>0</v>
      </c>
      <c r="F21" s="137">
        <f>'Sch OL-TOU Cust Fcst'!$C20*'Non-Residential TSM UC Adj'!J21</f>
        <v>0</v>
      </c>
      <c r="G21" s="23">
        <f>'Sch OL-TOU Cust Fcst'!$C20*'Non-Residential TSM UC Adj'!K21</f>
        <v>0</v>
      </c>
      <c r="H21" s="23">
        <f>'Sch OL-TOU Cust Fcst'!$C20*'Non-Residential TSM UC Adj'!L21</f>
        <v>0</v>
      </c>
      <c r="I21" s="45">
        <f>IF(SUM(F21:H21)=0,0,SUM(F21:H21)/'Sch AL-TOU Cust Fcst'!C20)</f>
        <v>0</v>
      </c>
      <c r="J21" s="137">
        <f>'Sch OL-TOU Cust Fcst'!$D20*'Non-Residential TSM UC Adj'!J21</f>
        <v>0</v>
      </c>
      <c r="K21" s="23">
        <f>'Sch OL-TOU Cust Fcst'!$D20*'Non-Residential TSM UC Adj'!K21</f>
        <v>0</v>
      </c>
      <c r="L21" s="23">
        <f>'Sch OL-TOU Cust Fcst'!$D20*'Non-Residential TSM UC Adj'!L21</f>
        <v>0</v>
      </c>
      <c r="M21" s="45">
        <f>IF(SUM(J21:L21)=0,0,SUM(J21:L21)/'Sch AL-TOU Cust Fcst'!D20)</f>
        <v>0</v>
      </c>
      <c r="N21" s="137">
        <f>'Sch OL-TOU Cust Fcst'!$E20*'Non-Residential TSM UC Adj'!N21</f>
        <v>0</v>
      </c>
      <c r="O21" s="23">
        <f>'Sch OL-TOU Cust Fcst'!$E20*'Non-Residential TSM UC Adj'!O21</f>
        <v>0</v>
      </c>
      <c r="P21" s="23">
        <f>'Sch OL-TOU Cust Fcst'!$E20*'Non-Residential TSM UC Adj'!P21</f>
        <v>0</v>
      </c>
      <c r="Q21" s="45">
        <f>IF(SUM(N21:P21)=0,0,SUM(N21:P21)/'Sch AL-TOU Cust Fcst'!E20)</f>
        <v>0</v>
      </c>
      <c r="R21" s="23">
        <f t="shared" si="1"/>
        <v>0</v>
      </c>
      <c r="S21" s="23">
        <f t="shared" si="0"/>
        <v>0</v>
      </c>
      <c r="T21" s="23">
        <f t="shared" si="0"/>
        <v>0</v>
      </c>
      <c r="U21" s="45">
        <f>IF(SUM(R21:T21)=0,0,SUM(R21:T21)/'Sch AL-TOU Cust Fcst'!F20)</f>
        <v>0</v>
      </c>
    </row>
    <row r="22" spans="1:21">
      <c r="A22" s="153" t="s">
        <v>14</v>
      </c>
      <c r="B22" s="137">
        <f>'Sch OL-TOU Cust Fcst'!$B21*'Non-Residential TSM UC Adj'!J22</f>
        <v>0</v>
      </c>
      <c r="C22" s="23">
        <f>'Sch OL-TOU Cust Fcst'!$B21*'Non-Residential TSM UC Adj'!K22</f>
        <v>0</v>
      </c>
      <c r="D22" s="23">
        <f>'Sch OL-TOU Cust Fcst'!$B21*'Non-Residential TSM UC Adj'!L22</f>
        <v>0</v>
      </c>
      <c r="E22" s="45">
        <f>IF(SUM(B22:D22)=0,0,SUM(B22:D22)/'Sch AL-TOU Cust Fcst'!B21)</f>
        <v>0</v>
      </c>
      <c r="F22" s="137">
        <f>'Sch OL-TOU Cust Fcst'!$C21*'Non-Residential TSM UC Adj'!J22</f>
        <v>0</v>
      </c>
      <c r="G22" s="23">
        <f>'Sch OL-TOU Cust Fcst'!$C21*'Non-Residential TSM UC Adj'!K22</f>
        <v>0</v>
      </c>
      <c r="H22" s="23">
        <f>'Sch OL-TOU Cust Fcst'!$C21*'Non-Residential TSM UC Adj'!L22</f>
        <v>0</v>
      </c>
      <c r="I22" s="45">
        <f>IF(SUM(F22:H22)=0,0,SUM(F22:H22)/'Sch AL-TOU Cust Fcst'!C21)</f>
        <v>0</v>
      </c>
      <c r="J22" s="137">
        <f>'Sch OL-TOU Cust Fcst'!$D21*'Non-Residential TSM UC Adj'!J22</f>
        <v>0</v>
      </c>
      <c r="K22" s="23">
        <f>'Sch OL-TOU Cust Fcst'!$D21*'Non-Residential TSM UC Adj'!K22</f>
        <v>0</v>
      </c>
      <c r="L22" s="23">
        <f>'Sch OL-TOU Cust Fcst'!$D21*'Non-Residential TSM UC Adj'!L22</f>
        <v>0</v>
      </c>
      <c r="M22" s="45">
        <f>IF(SUM(J22:L22)=0,0,SUM(J22:L22)/'Sch AL-TOU Cust Fcst'!D21)</f>
        <v>0</v>
      </c>
      <c r="N22" s="137">
        <f>'Sch OL-TOU Cust Fcst'!$E21*'Non-Residential TSM UC Adj'!N22</f>
        <v>0</v>
      </c>
      <c r="O22" s="23">
        <f>'Sch OL-TOU Cust Fcst'!$E21*'Non-Residential TSM UC Adj'!O22</f>
        <v>0</v>
      </c>
      <c r="P22" s="23">
        <f>'Sch OL-TOU Cust Fcst'!$E21*'Non-Residential TSM UC Adj'!P22</f>
        <v>0</v>
      </c>
      <c r="Q22" s="45">
        <f>IF(SUM(N22:P22)=0,0,SUM(N22:P22)/'Sch AL-TOU Cust Fcst'!E21)</f>
        <v>0</v>
      </c>
      <c r="R22" s="23">
        <f t="shared" si="1"/>
        <v>0</v>
      </c>
      <c r="S22" s="23">
        <f t="shared" si="0"/>
        <v>0</v>
      </c>
      <c r="T22" s="23">
        <f t="shared" si="0"/>
        <v>0</v>
      </c>
      <c r="U22" s="45">
        <f>IF(SUM(R22:T22)=0,0,SUM(R22:T22)/'Sch AL-TOU Cust Fcst'!F21)</f>
        <v>0</v>
      </c>
    </row>
    <row r="23" spans="1:21">
      <c r="A23" s="155" t="s">
        <v>15</v>
      </c>
      <c r="B23" s="137">
        <f>'Sch OL-TOU Cust Fcst'!$B22*'Non-Residential TSM UC Adj'!J23</f>
        <v>0</v>
      </c>
      <c r="C23" s="23">
        <f>'Sch OL-TOU Cust Fcst'!$B22*'Non-Residential TSM UC Adj'!K23</f>
        <v>0</v>
      </c>
      <c r="D23" s="23">
        <f>'Sch OL-TOU Cust Fcst'!$B22*'Non-Residential TSM UC Adj'!L23</f>
        <v>0</v>
      </c>
      <c r="E23" s="45">
        <f>IF(SUM(B23:D23)=0,0,SUM(B23:D23)/'Sch AL-TOU Cust Fcst'!B22)</f>
        <v>0</v>
      </c>
      <c r="F23" s="137">
        <f>'Sch OL-TOU Cust Fcst'!$C22*'Non-Residential TSM UC Adj'!J23</f>
        <v>0</v>
      </c>
      <c r="G23" s="23">
        <f>'Sch OL-TOU Cust Fcst'!$C22*'Non-Residential TSM UC Adj'!K23</f>
        <v>0</v>
      </c>
      <c r="H23" s="23">
        <f>'Sch OL-TOU Cust Fcst'!$C22*'Non-Residential TSM UC Adj'!L23</f>
        <v>0</v>
      </c>
      <c r="I23" s="45">
        <f>IF(SUM(F23:H23)=0,0,SUM(F23:H23)/'Sch AL-TOU Cust Fcst'!C22)</f>
        <v>0</v>
      </c>
      <c r="J23" s="137">
        <f>'Sch OL-TOU Cust Fcst'!$D22*'Non-Residential TSM UC Adj'!J23</f>
        <v>0</v>
      </c>
      <c r="K23" s="23">
        <f>'Sch OL-TOU Cust Fcst'!$D22*'Non-Residential TSM UC Adj'!K23</f>
        <v>0</v>
      </c>
      <c r="L23" s="23">
        <f>'Sch OL-TOU Cust Fcst'!$D22*'Non-Residential TSM UC Adj'!L23</f>
        <v>0</v>
      </c>
      <c r="M23" s="45">
        <f>IF(SUM(J23:L23)=0,0,SUM(J23:L23)/'Sch AL-TOU Cust Fcst'!D22)</f>
        <v>0</v>
      </c>
      <c r="N23" s="137">
        <f>'Sch OL-TOU Cust Fcst'!$E22*'Non-Residential TSM UC Adj'!N23</f>
        <v>0</v>
      </c>
      <c r="O23" s="23">
        <f>'Sch OL-TOU Cust Fcst'!$E22*'Non-Residential TSM UC Adj'!O23</f>
        <v>0</v>
      </c>
      <c r="P23" s="23">
        <f>'Sch OL-TOU Cust Fcst'!$E22*'Non-Residential TSM UC Adj'!P23</f>
        <v>0</v>
      </c>
      <c r="Q23" s="45">
        <f>IF(SUM(N23:P23)=0,0,SUM(N23:P23)/'Sch AL-TOU Cust Fcst'!E22)</f>
        <v>0</v>
      </c>
      <c r="R23" s="23">
        <f t="shared" si="1"/>
        <v>0</v>
      </c>
      <c r="S23" s="23">
        <f t="shared" ref="S23:S37" si="2">C23+G23+K23+O23</f>
        <v>0</v>
      </c>
      <c r="T23" s="23">
        <f t="shared" ref="T23:T37" si="3">D23+H23+L23+P23</f>
        <v>0</v>
      </c>
      <c r="U23" s="45">
        <f>IF(SUM(R23:T23)=0,0,SUM(R23:T23)/'Sch AL-TOU Cust Fcst'!F22)</f>
        <v>0</v>
      </c>
    </row>
    <row r="24" spans="1:21">
      <c r="A24" s="155" t="s">
        <v>16</v>
      </c>
      <c r="B24" s="137">
        <f>'Sch OL-TOU Cust Fcst'!$B23*'Non-Residential TSM UC Adj'!J24</f>
        <v>0</v>
      </c>
      <c r="C24" s="23">
        <f>'Sch OL-TOU Cust Fcst'!$B23*'Non-Residential TSM UC Adj'!K24</f>
        <v>0</v>
      </c>
      <c r="D24" s="23">
        <f>'Sch OL-TOU Cust Fcst'!$B23*'Non-Residential TSM UC Adj'!L24</f>
        <v>0</v>
      </c>
      <c r="E24" s="45">
        <f>IF(SUM(B24:D24)=0,0,SUM(B24:D24)/'Sch AL-TOU Cust Fcst'!B23)</f>
        <v>0</v>
      </c>
      <c r="F24" s="137">
        <f>'Sch OL-TOU Cust Fcst'!$C23*'Non-Residential TSM UC Adj'!J24</f>
        <v>0</v>
      </c>
      <c r="G24" s="23">
        <f>'Sch OL-TOU Cust Fcst'!$C23*'Non-Residential TSM UC Adj'!K24</f>
        <v>0</v>
      </c>
      <c r="H24" s="23">
        <f>'Sch OL-TOU Cust Fcst'!$C23*'Non-Residential TSM UC Adj'!L24</f>
        <v>0</v>
      </c>
      <c r="I24" s="45">
        <f>IF(SUM(F24:H24)=0,0,SUM(F24:H24)/'Sch AL-TOU Cust Fcst'!C23)</f>
        <v>0</v>
      </c>
      <c r="J24" s="137">
        <f>'Sch OL-TOU Cust Fcst'!$D23*'Non-Residential TSM UC Adj'!J24</f>
        <v>0</v>
      </c>
      <c r="K24" s="23">
        <f>'Sch OL-TOU Cust Fcst'!$D23*'Non-Residential TSM UC Adj'!K24</f>
        <v>0</v>
      </c>
      <c r="L24" s="23">
        <f>'Sch OL-TOU Cust Fcst'!$D23*'Non-Residential TSM UC Adj'!L24</f>
        <v>0</v>
      </c>
      <c r="M24" s="45">
        <f>IF(SUM(J24:L24)=0,0,SUM(J24:L24)/'Sch AL-TOU Cust Fcst'!D23)</f>
        <v>0</v>
      </c>
      <c r="N24" s="137">
        <f>'Sch OL-TOU Cust Fcst'!$E23*'Non-Residential TSM UC Adj'!N24</f>
        <v>0</v>
      </c>
      <c r="O24" s="23">
        <f>'Sch OL-TOU Cust Fcst'!$E23*'Non-Residential TSM UC Adj'!O24</f>
        <v>0</v>
      </c>
      <c r="P24" s="23">
        <f>'Sch OL-TOU Cust Fcst'!$E23*'Non-Residential TSM UC Adj'!P24</f>
        <v>0</v>
      </c>
      <c r="Q24" s="45">
        <f>IF(SUM(N24:P24)=0,0,SUM(N24:P24)/'Sch AL-TOU Cust Fcst'!E23)</f>
        <v>0</v>
      </c>
      <c r="R24" s="23">
        <f t="shared" si="1"/>
        <v>0</v>
      </c>
      <c r="S24" s="23">
        <f t="shared" si="2"/>
        <v>0</v>
      </c>
      <c r="T24" s="23">
        <f t="shared" si="3"/>
        <v>0</v>
      </c>
      <c r="U24" s="45">
        <f>IF(SUM(R24:T24)=0,0,SUM(R24:T24)/'Sch AL-TOU Cust Fcst'!F23)</f>
        <v>0</v>
      </c>
    </row>
    <row r="25" spans="1:21">
      <c r="A25" s="155" t="s">
        <v>17</v>
      </c>
      <c r="B25" s="137">
        <f>'Sch OL-TOU Cust Fcst'!$B24*'Non-Residential TSM UC Adj'!J25</f>
        <v>0</v>
      </c>
      <c r="C25" s="23">
        <f>'Sch OL-TOU Cust Fcst'!$B24*'Non-Residential TSM UC Adj'!K25</f>
        <v>0</v>
      </c>
      <c r="D25" s="23">
        <f>'Sch OL-TOU Cust Fcst'!$B24*'Non-Residential TSM UC Adj'!L25</f>
        <v>0</v>
      </c>
      <c r="E25" s="45">
        <f>IF(SUM(B25:D25)=0,0,SUM(B25:D25)/'Sch AL-TOU Cust Fcst'!B24)</f>
        <v>0</v>
      </c>
      <c r="F25" s="137">
        <f>'Sch OL-TOU Cust Fcst'!$C24*'Non-Residential TSM UC Adj'!J25</f>
        <v>0</v>
      </c>
      <c r="G25" s="23">
        <f>'Sch OL-TOU Cust Fcst'!$C24*'Non-Residential TSM UC Adj'!K25</f>
        <v>0</v>
      </c>
      <c r="H25" s="23">
        <f>'Sch OL-TOU Cust Fcst'!$C24*'Non-Residential TSM UC Adj'!L25</f>
        <v>0</v>
      </c>
      <c r="I25" s="45">
        <f>IF(SUM(F25:H25)=0,0,SUM(F25:H25)/'Sch AL-TOU Cust Fcst'!C24)</f>
        <v>0</v>
      </c>
      <c r="J25" s="137">
        <f>'Sch OL-TOU Cust Fcst'!$D24*'Non-Residential TSM UC Adj'!J25</f>
        <v>0</v>
      </c>
      <c r="K25" s="23">
        <f>'Sch OL-TOU Cust Fcst'!$D24*'Non-Residential TSM UC Adj'!K25</f>
        <v>0</v>
      </c>
      <c r="L25" s="23">
        <f>'Sch OL-TOU Cust Fcst'!$D24*'Non-Residential TSM UC Adj'!L25</f>
        <v>0</v>
      </c>
      <c r="M25" s="45">
        <f>IF(SUM(J25:L25)=0,0,SUM(J25:L25)/'Sch AL-TOU Cust Fcst'!D24)</f>
        <v>0</v>
      </c>
      <c r="N25" s="137">
        <f>'Sch OL-TOU Cust Fcst'!$E24*'Non-Residential TSM UC Adj'!N25</f>
        <v>0</v>
      </c>
      <c r="O25" s="23">
        <f>'Sch OL-TOU Cust Fcst'!$E24*'Non-Residential TSM UC Adj'!O25</f>
        <v>0</v>
      </c>
      <c r="P25" s="23">
        <f>'Sch OL-TOU Cust Fcst'!$E24*'Non-Residential TSM UC Adj'!P25</f>
        <v>0</v>
      </c>
      <c r="Q25" s="45">
        <f>IF(SUM(N25:P25)=0,0,SUM(N25:P25)/'Sch AL-TOU Cust Fcst'!E24)</f>
        <v>0</v>
      </c>
      <c r="R25" s="23">
        <f t="shared" si="1"/>
        <v>0</v>
      </c>
      <c r="S25" s="23">
        <f t="shared" si="2"/>
        <v>0</v>
      </c>
      <c r="T25" s="23">
        <f t="shared" si="3"/>
        <v>0</v>
      </c>
      <c r="U25" s="45">
        <f>IF(SUM(R25:T25)=0,0,SUM(R25:T25)/'Sch AL-TOU Cust Fcst'!F24)</f>
        <v>0</v>
      </c>
    </row>
    <row r="26" spans="1:21">
      <c r="A26" s="155" t="s">
        <v>18</v>
      </c>
      <c r="B26" s="137">
        <f>'Sch OL-TOU Cust Fcst'!$B25*'Non-Residential TSM UC Adj'!J26</f>
        <v>0</v>
      </c>
      <c r="C26" s="23">
        <f>'Sch OL-TOU Cust Fcst'!$B25*'Non-Residential TSM UC Adj'!K26</f>
        <v>0</v>
      </c>
      <c r="D26" s="23">
        <f>'Sch OL-TOU Cust Fcst'!$B25*'Non-Residential TSM UC Adj'!L26</f>
        <v>0</v>
      </c>
      <c r="E26" s="45">
        <f>IF(SUM(B26:D26)=0,0,SUM(B26:D26)/'Sch AL-TOU Cust Fcst'!B25)</f>
        <v>0</v>
      </c>
      <c r="F26" s="137">
        <f>'Sch OL-TOU Cust Fcst'!$C25*'Non-Residential TSM UC Adj'!J26</f>
        <v>0</v>
      </c>
      <c r="G26" s="23">
        <f>'Sch OL-TOU Cust Fcst'!$C25*'Non-Residential TSM UC Adj'!K26</f>
        <v>0</v>
      </c>
      <c r="H26" s="23">
        <f>'Sch OL-TOU Cust Fcst'!$C25*'Non-Residential TSM UC Adj'!L26</f>
        <v>0</v>
      </c>
      <c r="I26" s="45">
        <f>IF(SUM(F26:H26)=0,0,SUM(F26:H26)/'Sch AL-TOU Cust Fcst'!C25)</f>
        <v>0</v>
      </c>
      <c r="J26" s="137">
        <f>'Sch OL-TOU Cust Fcst'!$D25*'Non-Residential TSM UC Adj'!J26</f>
        <v>0</v>
      </c>
      <c r="K26" s="23">
        <f>'Sch OL-TOU Cust Fcst'!$D25*'Non-Residential TSM UC Adj'!K26</f>
        <v>0</v>
      </c>
      <c r="L26" s="23">
        <f>'Sch OL-TOU Cust Fcst'!$D25*'Non-Residential TSM UC Adj'!L26</f>
        <v>0</v>
      </c>
      <c r="M26" s="45">
        <f>IF(SUM(J26:L26)=0,0,SUM(J26:L26)/'Sch AL-TOU Cust Fcst'!D25)</f>
        <v>0</v>
      </c>
      <c r="N26" s="137">
        <f>'Sch OL-TOU Cust Fcst'!$E25*'Non-Residential TSM UC Adj'!N26</f>
        <v>0</v>
      </c>
      <c r="O26" s="23">
        <f>'Sch OL-TOU Cust Fcst'!$E25*'Non-Residential TSM UC Adj'!O26</f>
        <v>0</v>
      </c>
      <c r="P26" s="23">
        <f>'Sch OL-TOU Cust Fcst'!$E25*'Non-Residential TSM UC Adj'!P26</f>
        <v>0</v>
      </c>
      <c r="Q26" s="45">
        <f>IF(SUM(N26:P26)=0,0,SUM(N26:P26)/'Sch AL-TOU Cust Fcst'!E25)</f>
        <v>0</v>
      </c>
      <c r="R26" s="23">
        <f t="shared" si="1"/>
        <v>0</v>
      </c>
      <c r="S26" s="23">
        <f t="shared" si="2"/>
        <v>0</v>
      </c>
      <c r="T26" s="23">
        <f t="shared" si="3"/>
        <v>0</v>
      </c>
      <c r="U26" s="45">
        <f>IF(SUM(R26:T26)=0,0,SUM(R26:T26)/'Sch AL-TOU Cust Fcst'!F25)</f>
        <v>0</v>
      </c>
    </row>
    <row r="27" spans="1:21">
      <c r="A27" s="155" t="s">
        <v>19</v>
      </c>
      <c r="B27" s="137">
        <f>'Sch OL-TOU Cust Fcst'!$B26*'Non-Residential TSM UC Adj'!J27</f>
        <v>0</v>
      </c>
      <c r="C27" s="23">
        <f>'Sch OL-TOU Cust Fcst'!$B26*'Non-Residential TSM UC Adj'!K27</f>
        <v>0</v>
      </c>
      <c r="D27" s="23">
        <f>'Sch OL-TOU Cust Fcst'!$B26*'Non-Residential TSM UC Adj'!L27</f>
        <v>0</v>
      </c>
      <c r="E27" s="45">
        <f>IF(SUM(B27:D27)=0,0,SUM(B27:D27)/'Sch AL-TOU Cust Fcst'!B26)</f>
        <v>0</v>
      </c>
      <c r="F27" s="137">
        <f>'Sch OL-TOU Cust Fcst'!$C26*'Non-Residential TSM UC Adj'!J27</f>
        <v>0</v>
      </c>
      <c r="G27" s="23">
        <f>'Sch OL-TOU Cust Fcst'!$C26*'Non-Residential TSM UC Adj'!K27</f>
        <v>0</v>
      </c>
      <c r="H27" s="23">
        <f>'Sch OL-TOU Cust Fcst'!$C26*'Non-Residential TSM UC Adj'!L27</f>
        <v>0</v>
      </c>
      <c r="I27" s="45">
        <f>IF(SUM(F27:H27)=0,0,SUM(F27:H27)/'Sch AL-TOU Cust Fcst'!C26)</f>
        <v>0</v>
      </c>
      <c r="J27" s="137">
        <f>'Sch OL-TOU Cust Fcst'!$D26*'Non-Residential TSM UC Adj'!J27</f>
        <v>0</v>
      </c>
      <c r="K27" s="23">
        <f>'Sch OL-TOU Cust Fcst'!$D26*'Non-Residential TSM UC Adj'!K27</f>
        <v>0</v>
      </c>
      <c r="L27" s="23">
        <f>'Sch OL-TOU Cust Fcst'!$D26*'Non-Residential TSM UC Adj'!L27</f>
        <v>0</v>
      </c>
      <c r="M27" s="45">
        <f>IF(SUM(J27:L27)=0,0,SUM(J27:L27)/'Sch AL-TOU Cust Fcst'!D26)</f>
        <v>0</v>
      </c>
      <c r="N27" s="137">
        <f>'Sch OL-TOU Cust Fcst'!$E26*'Non-Residential TSM UC Adj'!N27</f>
        <v>0</v>
      </c>
      <c r="O27" s="23">
        <f>'Sch OL-TOU Cust Fcst'!$E26*'Non-Residential TSM UC Adj'!O27</f>
        <v>0</v>
      </c>
      <c r="P27" s="23">
        <f>'Sch OL-TOU Cust Fcst'!$E26*'Non-Residential TSM UC Adj'!P27</f>
        <v>0</v>
      </c>
      <c r="Q27" s="45">
        <f>IF(SUM(N27:P27)=0,0,SUM(N27:P27)/'Sch AL-TOU Cust Fcst'!E26)</f>
        <v>0</v>
      </c>
      <c r="R27" s="23">
        <f t="shared" si="1"/>
        <v>0</v>
      </c>
      <c r="S27" s="23">
        <f t="shared" si="2"/>
        <v>0</v>
      </c>
      <c r="T27" s="23">
        <f t="shared" si="3"/>
        <v>0</v>
      </c>
      <c r="U27" s="45">
        <f>IF(SUM(R27:T27)=0,0,SUM(R27:T27)/'Sch AL-TOU Cust Fcst'!F26)</f>
        <v>0</v>
      </c>
    </row>
    <row r="28" spans="1:21">
      <c r="A28" s="155" t="s">
        <v>20</v>
      </c>
      <c r="B28" s="137">
        <f>'Sch OL-TOU Cust Fcst'!$B27*'Non-Residential TSM UC Adj'!J28</f>
        <v>0</v>
      </c>
      <c r="C28" s="23">
        <f>'Sch OL-TOU Cust Fcst'!$B27*'Non-Residential TSM UC Adj'!K28</f>
        <v>0</v>
      </c>
      <c r="D28" s="23">
        <f>'Sch OL-TOU Cust Fcst'!$B27*'Non-Residential TSM UC Adj'!L28</f>
        <v>0</v>
      </c>
      <c r="E28" s="45">
        <f>IF(SUM(B28:D28)=0,0,SUM(B28:D28)/'Sch AL-TOU Cust Fcst'!B27)</f>
        <v>0</v>
      </c>
      <c r="F28" s="137">
        <f>'Sch OL-TOU Cust Fcst'!$C27*'Non-Residential TSM UC Adj'!J28</f>
        <v>0</v>
      </c>
      <c r="G28" s="23">
        <f>'Sch OL-TOU Cust Fcst'!$C27*'Non-Residential TSM UC Adj'!K28</f>
        <v>0</v>
      </c>
      <c r="H28" s="23">
        <f>'Sch OL-TOU Cust Fcst'!$C27*'Non-Residential TSM UC Adj'!L28</f>
        <v>0</v>
      </c>
      <c r="I28" s="45">
        <f>IF(SUM(F28:H28)=0,0,SUM(F28:H28)/'Sch AL-TOU Cust Fcst'!C27)</f>
        <v>0</v>
      </c>
      <c r="J28" s="137">
        <f>'Sch OL-TOU Cust Fcst'!$D27*'Non-Residential TSM UC Adj'!J28</f>
        <v>0</v>
      </c>
      <c r="K28" s="23">
        <f>'Sch OL-TOU Cust Fcst'!$D27*'Non-Residential TSM UC Adj'!K28</f>
        <v>0</v>
      </c>
      <c r="L28" s="23">
        <f>'Sch OL-TOU Cust Fcst'!$D27*'Non-Residential TSM UC Adj'!L28</f>
        <v>0</v>
      </c>
      <c r="M28" s="45">
        <f>IF(SUM(J28:L28)=0,0,SUM(J28:L28)/'Sch AL-TOU Cust Fcst'!D27)</f>
        <v>0</v>
      </c>
      <c r="N28" s="137">
        <f>'Sch OL-TOU Cust Fcst'!$E27*'Non-Residential TSM UC Adj'!N28</f>
        <v>0</v>
      </c>
      <c r="O28" s="23">
        <f>'Sch OL-TOU Cust Fcst'!$E27*'Non-Residential TSM UC Adj'!O28</f>
        <v>0</v>
      </c>
      <c r="P28" s="23">
        <f>'Sch OL-TOU Cust Fcst'!$E27*'Non-Residential TSM UC Adj'!P28</f>
        <v>0</v>
      </c>
      <c r="Q28" s="45">
        <f>IF(SUM(N28:P28)=0,0,SUM(N28:P28)/'Sch AL-TOU Cust Fcst'!E27)</f>
        <v>0</v>
      </c>
      <c r="R28" s="23">
        <f t="shared" si="1"/>
        <v>0</v>
      </c>
      <c r="S28" s="23">
        <f t="shared" si="2"/>
        <v>0</v>
      </c>
      <c r="T28" s="23">
        <f t="shared" si="3"/>
        <v>0</v>
      </c>
      <c r="U28" s="45">
        <f>IF(SUM(R28:T28)=0,0,SUM(R28:T28)/'Sch AL-TOU Cust Fcst'!F27)</f>
        <v>0</v>
      </c>
    </row>
    <row r="29" spans="1:21">
      <c r="A29" s="155" t="s">
        <v>21</v>
      </c>
      <c r="B29" s="137">
        <f>'Sch OL-TOU Cust Fcst'!$B28*'Non-Residential TSM UC Adj'!J29</f>
        <v>0</v>
      </c>
      <c r="C29" s="23">
        <f>'Sch OL-TOU Cust Fcst'!$B28*'Non-Residential TSM UC Adj'!K29</f>
        <v>0</v>
      </c>
      <c r="D29" s="23">
        <f>'Sch OL-TOU Cust Fcst'!$B28*'Non-Residential TSM UC Adj'!L29</f>
        <v>0</v>
      </c>
      <c r="E29" s="45">
        <f>IF(SUM(B29:D29)=0,0,SUM(B29:D29)/'Sch AL-TOU Cust Fcst'!B28)</f>
        <v>0</v>
      </c>
      <c r="F29" s="137">
        <f>'Sch OL-TOU Cust Fcst'!$C28*'Non-Residential TSM UC Adj'!J29</f>
        <v>0</v>
      </c>
      <c r="G29" s="23">
        <f>'Sch OL-TOU Cust Fcst'!$C28*'Non-Residential TSM UC Adj'!K29</f>
        <v>0</v>
      </c>
      <c r="H29" s="23">
        <f>'Sch OL-TOU Cust Fcst'!$C28*'Non-Residential TSM UC Adj'!L29</f>
        <v>0</v>
      </c>
      <c r="I29" s="45">
        <f>IF(SUM(F29:H29)=0,0,SUM(F29:H29)/'Sch AL-TOU Cust Fcst'!C28)</f>
        <v>0</v>
      </c>
      <c r="J29" s="137">
        <f>'Sch OL-TOU Cust Fcst'!$D28*'Non-Residential TSM UC Adj'!J29</f>
        <v>0</v>
      </c>
      <c r="K29" s="23">
        <f>'Sch OL-TOU Cust Fcst'!$D28*'Non-Residential TSM UC Adj'!K29</f>
        <v>0</v>
      </c>
      <c r="L29" s="23">
        <f>'Sch OL-TOU Cust Fcst'!$D28*'Non-Residential TSM UC Adj'!L29</f>
        <v>0</v>
      </c>
      <c r="M29" s="45">
        <f>IF(SUM(J29:L29)=0,0,SUM(J29:L29)/'Sch AL-TOU Cust Fcst'!D28)</f>
        <v>0</v>
      </c>
      <c r="N29" s="137">
        <f>'Sch OL-TOU Cust Fcst'!$E28*'Non-Residential TSM UC Adj'!N29</f>
        <v>0</v>
      </c>
      <c r="O29" s="23">
        <f>'Sch OL-TOU Cust Fcst'!$E28*'Non-Residential TSM UC Adj'!O29</f>
        <v>0</v>
      </c>
      <c r="P29" s="23">
        <f>'Sch OL-TOU Cust Fcst'!$E28*'Non-Residential TSM UC Adj'!P29</f>
        <v>0</v>
      </c>
      <c r="Q29" s="45">
        <f>IF(SUM(N29:P29)=0,0,SUM(N29:P29)/'Sch AL-TOU Cust Fcst'!E28)</f>
        <v>0</v>
      </c>
      <c r="R29" s="23">
        <f t="shared" si="1"/>
        <v>0</v>
      </c>
      <c r="S29" s="23">
        <f t="shared" si="2"/>
        <v>0</v>
      </c>
      <c r="T29" s="23">
        <f t="shared" si="3"/>
        <v>0</v>
      </c>
      <c r="U29" s="45">
        <f>IF(SUM(R29:T29)=0,0,SUM(R29:T29)/'Sch AL-TOU Cust Fcst'!F28)</f>
        <v>0</v>
      </c>
    </row>
    <row r="30" spans="1:21">
      <c r="A30" s="155" t="s">
        <v>22</v>
      </c>
      <c r="B30" s="137">
        <f>'Sch OL-TOU Cust Fcst'!$B29*'Non-Residential TSM UC Adj'!J30</f>
        <v>0</v>
      </c>
      <c r="C30" s="23">
        <f>'Sch OL-TOU Cust Fcst'!$B29*'Non-Residential TSM UC Adj'!K30</f>
        <v>0</v>
      </c>
      <c r="D30" s="23">
        <f>'Sch OL-TOU Cust Fcst'!$B29*'Non-Residential TSM UC Adj'!L30</f>
        <v>0</v>
      </c>
      <c r="E30" s="45">
        <f>IF(SUM(B30:D30)=0,0,SUM(B30:D30)/'Sch AL-TOU Cust Fcst'!B29)</f>
        <v>0</v>
      </c>
      <c r="F30" s="137">
        <f>'Sch OL-TOU Cust Fcst'!$C29*'Non-Residential TSM UC Adj'!J30</f>
        <v>0</v>
      </c>
      <c r="G30" s="23">
        <f>'Sch OL-TOU Cust Fcst'!$C29*'Non-Residential TSM UC Adj'!K30</f>
        <v>0</v>
      </c>
      <c r="H30" s="23">
        <f>'Sch OL-TOU Cust Fcst'!$C29*'Non-Residential TSM UC Adj'!L30</f>
        <v>0</v>
      </c>
      <c r="I30" s="45">
        <f>IF(SUM(F30:H30)=0,0,SUM(F30:H30)/'Sch AL-TOU Cust Fcst'!C29)</f>
        <v>0</v>
      </c>
      <c r="J30" s="137">
        <f>'Sch OL-TOU Cust Fcst'!$D29*'Non-Residential TSM UC Adj'!J30</f>
        <v>0</v>
      </c>
      <c r="K30" s="23">
        <f>'Sch OL-TOU Cust Fcst'!$D29*'Non-Residential TSM UC Adj'!K30</f>
        <v>0</v>
      </c>
      <c r="L30" s="23">
        <f>'Sch OL-TOU Cust Fcst'!$D29*'Non-Residential TSM UC Adj'!L30</f>
        <v>0</v>
      </c>
      <c r="M30" s="45">
        <f>IF(SUM(J30:L30)=0,0,SUM(J30:L30)/'Sch AL-TOU Cust Fcst'!D29)</f>
        <v>0</v>
      </c>
      <c r="N30" s="137">
        <f>'Sch OL-TOU Cust Fcst'!$E29*'Non-Residential TSM UC Adj'!N30</f>
        <v>0</v>
      </c>
      <c r="O30" s="23">
        <f>'Sch OL-TOU Cust Fcst'!$E29*'Non-Residential TSM UC Adj'!O30</f>
        <v>0</v>
      </c>
      <c r="P30" s="23">
        <f>'Sch OL-TOU Cust Fcst'!$E29*'Non-Residential TSM UC Adj'!P30</f>
        <v>0</v>
      </c>
      <c r="Q30" s="45">
        <f>IF(SUM(N30:P30)=0,0,SUM(N30:P30)/'Sch AL-TOU Cust Fcst'!E29)</f>
        <v>0</v>
      </c>
      <c r="R30" s="23">
        <f t="shared" si="1"/>
        <v>0</v>
      </c>
      <c r="S30" s="23">
        <f t="shared" si="2"/>
        <v>0</v>
      </c>
      <c r="T30" s="23">
        <f t="shared" si="3"/>
        <v>0</v>
      </c>
      <c r="U30" s="45">
        <f>IF(SUM(R30:T30)=0,0,SUM(R30:T30)/'Sch AL-TOU Cust Fcst'!F29)</f>
        <v>0</v>
      </c>
    </row>
    <row r="31" spans="1:21">
      <c r="A31" s="153" t="s">
        <v>23</v>
      </c>
      <c r="B31" s="137">
        <f>'Sch OL-TOU Cust Fcst'!$B30*'Non-Residential TSM UC Adj'!J31</f>
        <v>0</v>
      </c>
      <c r="C31" s="23">
        <f>'Sch OL-TOU Cust Fcst'!$B30*'Non-Residential TSM UC Adj'!K31</f>
        <v>0</v>
      </c>
      <c r="D31" s="23">
        <f>'Sch OL-TOU Cust Fcst'!$B30*'Non-Residential TSM UC Adj'!L31</f>
        <v>0</v>
      </c>
      <c r="E31" s="45">
        <f>IF(SUM(B31:D31)=0,0,SUM(B31:D31)/'Sch AL-TOU Cust Fcst'!B30)</f>
        <v>0</v>
      </c>
      <c r="F31" s="137">
        <f>'Sch OL-TOU Cust Fcst'!$C30*'Non-Residential TSM UC Adj'!J31</f>
        <v>0</v>
      </c>
      <c r="G31" s="23">
        <f>'Sch OL-TOU Cust Fcst'!$C30*'Non-Residential TSM UC Adj'!K31</f>
        <v>0</v>
      </c>
      <c r="H31" s="23">
        <f>'Sch OL-TOU Cust Fcst'!$C30*'Non-Residential TSM UC Adj'!L31</f>
        <v>0</v>
      </c>
      <c r="I31" s="45">
        <f>IF(SUM(F31:H31)=0,0,SUM(F31:H31)/'Sch AL-TOU Cust Fcst'!C30)</f>
        <v>0</v>
      </c>
      <c r="J31" s="137">
        <f>'Sch OL-TOU Cust Fcst'!$D30*'Non-Residential TSM UC Adj'!J31</f>
        <v>0</v>
      </c>
      <c r="K31" s="23">
        <f>'Sch OL-TOU Cust Fcst'!$D30*'Non-Residential TSM UC Adj'!K31</f>
        <v>0</v>
      </c>
      <c r="L31" s="23">
        <f>'Sch OL-TOU Cust Fcst'!$D30*'Non-Residential TSM UC Adj'!L31</f>
        <v>0</v>
      </c>
      <c r="M31" s="45">
        <f>IF(SUM(J31:L31)=0,0,SUM(J31:L31)/'Sch AL-TOU Cust Fcst'!D30)</f>
        <v>0</v>
      </c>
      <c r="N31" s="137">
        <f>'Sch OL-TOU Cust Fcst'!$E30*'Non-Residential TSM UC Adj'!N31</f>
        <v>0</v>
      </c>
      <c r="O31" s="23">
        <f>'Sch OL-TOU Cust Fcst'!$E30*'Non-Residential TSM UC Adj'!O31</f>
        <v>0</v>
      </c>
      <c r="P31" s="23">
        <f>'Sch OL-TOU Cust Fcst'!$E30*'Non-Residential TSM UC Adj'!P31</f>
        <v>0</v>
      </c>
      <c r="Q31" s="45">
        <f>IF(SUM(N31:P31)=0,0,SUM(N31:P31)/'Sch AL-TOU Cust Fcst'!E30)</f>
        <v>0</v>
      </c>
      <c r="R31" s="23">
        <f t="shared" si="1"/>
        <v>0</v>
      </c>
      <c r="S31" s="23">
        <f t="shared" si="2"/>
        <v>0</v>
      </c>
      <c r="T31" s="23">
        <f t="shared" si="3"/>
        <v>0</v>
      </c>
      <c r="U31" s="45">
        <f>IF(SUM(R31:T31)=0,0,SUM(R31:T31)/'Sch AL-TOU Cust Fcst'!F30)</f>
        <v>0</v>
      </c>
    </row>
    <row r="32" spans="1:21">
      <c r="A32" s="153" t="s">
        <v>24</v>
      </c>
      <c r="B32" s="137">
        <f>'Sch OL-TOU Cust Fcst'!$B31*'Non-Residential TSM UC Adj'!J32</f>
        <v>0</v>
      </c>
      <c r="C32" s="23">
        <f>'Sch OL-TOU Cust Fcst'!$B31*'Non-Residential TSM UC Adj'!K32</f>
        <v>0</v>
      </c>
      <c r="D32" s="23">
        <f>'Sch OL-TOU Cust Fcst'!$B31*'Non-Residential TSM UC Adj'!L32</f>
        <v>0</v>
      </c>
      <c r="E32" s="45">
        <f>IF(SUM(B32:D32)=0,0,SUM(B32:D32)/'Sch AL-TOU Cust Fcst'!B31)</f>
        <v>0</v>
      </c>
      <c r="F32" s="137">
        <f>'Sch OL-TOU Cust Fcst'!$C31*'Non-Residential TSM UC Adj'!J32</f>
        <v>0</v>
      </c>
      <c r="G32" s="23">
        <f>'Sch OL-TOU Cust Fcst'!$C31*'Non-Residential TSM UC Adj'!K32</f>
        <v>0</v>
      </c>
      <c r="H32" s="23">
        <f>'Sch OL-TOU Cust Fcst'!$C31*'Non-Residential TSM UC Adj'!L32</f>
        <v>0</v>
      </c>
      <c r="I32" s="45">
        <f>IF(SUM(F32:H32)=0,0,SUM(F32:H32)/'Sch AL-TOU Cust Fcst'!C31)</f>
        <v>0</v>
      </c>
      <c r="J32" s="137">
        <f>'Sch OL-TOU Cust Fcst'!$D31*'Non-Residential TSM UC Adj'!J32</f>
        <v>0</v>
      </c>
      <c r="K32" s="23">
        <f>'Sch OL-TOU Cust Fcst'!$D31*'Non-Residential TSM UC Adj'!K32</f>
        <v>0</v>
      </c>
      <c r="L32" s="23">
        <f>'Sch OL-TOU Cust Fcst'!$D31*'Non-Residential TSM UC Adj'!L32</f>
        <v>0</v>
      </c>
      <c r="M32" s="45">
        <f>IF(SUM(J32:L32)=0,0,SUM(J32:L32)/'Sch AL-TOU Cust Fcst'!D31)</f>
        <v>0</v>
      </c>
      <c r="N32" s="137">
        <f>'Sch OL-TOU Cust Fcst'!$E31*'Non-Residential TSM UC Adj'!N32</f>
        <v>0</v>
      </c>
      <c r="O32" s="23">
        <f>'Sch OL-TOU Cust Fcst'!$E31*'Non-Residential TSM UC Adj'!O32</f>
        <v>0</v>
      </c>
      <c r="P32" s="23">
        <f>'Sch OL-TOU Cust Fcst'!$E31*'Non-Residential TSM UC Adj'!P32</f>
        <v>0</v>
      </c>
      <c r="Q32" s="45">
        <f>IF(SUM(N32:P32)=0,0,SUM(N32:P32)/'Sch AL-TOU Cust Fcst'!E31)</f>
        <v>0</v>
      </c>
      <c r="R32" s="23">
        <f t="shared" si="1"/>
        <v>0</v>
      </c>
      <c r="S32" s="23">
        <f t="shared" si="2"/>
        <v>0</v>
      </c>
      <c r="T32" s="23">
        <f t="shared" si="3"/>
        <v>0</v>
      </c>
      <c r="U32" s="45">
        <f>IF(SUM(R32:T32)=0,0,SUM(R32:T32)/'Sch AL-TOU Cust Fcst'!F31)</f>
        <v>0</v>
      </c>
    </row>
    <row r="33" spans="1:21">
      <c r="A33" s="153" t="s">
        <v>25</v>
      </c>
      <c r="B33" s="137">
        <f>'Sch OL-TOU Cust Fcst'!$B32*'Non-Residential TSM UC Adj'!J33</f>
        <v>0</v>
      </c>
      <c r="C33" s="23">
        <f>'Sch OL-TOU Cust Fcst'!$B32*'Non-Residential TSM UC Adj'!K33</f>
        <v>0</v>
      </c>
      <c r="D33" s="23">
        <f>'Sch OL-TOU Cust Fcst'!$B32*'Non-Residential TSM UC Adj'!L33</f>
        <v>0</v>
      </c>
      <c r="E33" s="45">
        <f>IF(SUM(B33:D33)=0,0,SUM(B33:D33)/'Sch AL-TOU Cust Fcst'!B32)</f>
        <v>0</v>
      </c>
      <c r="F33" s="137">
        <f>'Sch OL-TOU Cust Fcst'!$C32*'Non-Residential TSM UC Adj'!J33</f>
        <v>0</v>
      </c>
      <c r="G33" s="23">
        <f>'Sch OL-TOU Cust Fcst'!$C32*'Non-Residential TSM UC Adj'!K33</f>
        <v>0</v>
      </c>
      <c r="H33" s="23">
        <f>'Sch OL-TOU Cust Fcst'!$C32*'Non-Residential TSM UC Adj'!L33</f>
        <v>0</v>
      </c>
      <c r="I33" s="45">
        <f>IF(SUM(F33:H33)=0,0,SUM(F33:H33)/'Sch AL-TOU Cust Fcst'!C32)</f>
        <v>0</v>
      </c>
      <c r="J33" s="137">
        <f>'Sch OL-TOU Cust Fcst'!$D32*'Non-Residential TSM UC Adj'!J33</f>
        <v>0</v>
      </c>
      <c r="K33" s="23">
        <f>'Sch OL-TOU Cust Fcst'!$D32*'Non-Residential TSM UC Adj'!K33</f>
        <v>0</v>
      </c>
      <c r="L33" s="23">
        <f>'Sch OL-TOU Cust Fcst'!$D32*'Non-Residential TSM UC Adj'!L33</f>
        <v>0</v>
      </c>
      <c r="M33" s="45">
        <f>IF(SUM(J33:L33)=0,0,SUM(J33:L33)/'Sch AL-TOU Cust Fcst'!D32)</f>
        <v>0</v>
      </c>
      <c r="N33" s="137">
        <f>'Sch OL-TOU Cust Fcst'!$E32*'Non-Residential TSM UC Adj'!N33</f>
        <v>0</v>
      </c>
      <c r="O33" s="23">
        <f>'Sch OL-TOU Cust Fcst'!$E32*'Non-Residential TSM UC Adj'!O33</f>
        <v>0</v>
      </c>
      <c r="P33" s="23">
        <f>'Sch OL-TOU Cust Fcst'!$E32*'Non-Residential TSM UC Adj'!P33</f>
        <v>0</v>
      </c>
      <c r="Q33" s="45">
        <f>IF(SUM(N33:P33)=0,0,SUM(N33:P33)/'Sch AL-TOU Cust Fcst'!E32)</f>
        <v>0</v>
      </c>
      <c r="R33" s="23">
        <f t="shared" si="1"/>
        <v>0</v>
      </c>
      <c r="S33" s="23">
        <f t="shared" si="2"/>
        <v>0</v>
      </c>
      <c r="T33" s="23">
        <f t="shared" si="3"/>
        <v>0</v>
      </c>
      <c r="U33" s="45">
        <f>IF(SUM(R33:T33)=0,0,SUM(R33:T33)/'Sch AL-TOU Cust Fcst'!F32)</f>
        <v>0</v>
      </c>
    </row>
    <row r="34" spans="1:21">
      <c r="A34" s="153" t="s">
        <v>125</v>
      </c>
      <c r="B34" s="137">
        <f>'Sch OL-TOU Cust Fcst'!$B33*'Non-Residential TSM UC Adj'!J34</f>
        <v>0</v>
      </c>
      <c r="C34" s="23">
        <f>'Sch OL-TOU Cust Fcst'!$B33*'Non-Residential TSM UC Adj'!K34</f>
        <v>0</v>
      </c>
      <c r="D34" s="23">
        <f>'Sch OL-TOU Cust Fcst'!$B33*'Non-Residential TSM UC Adj'!L34</f>
        <v>0</v>
      </c>
      <c r="E34" s="45">
        <f>IF(SUM(B34:D34)=0,0,SUM(B34:D34)/'Sch AL-TOU Cust Fcst'!B33)</f>
        <v>0</v>
      </c>
      <c r="F34" s="137">
        <f>'Sch OL-TOU Cust Fcst'!$C33*'Non-Residential TSM UC Adj'!J34</f>
        <v>0</v>
      </c>
      <c r="G34" s="23">
        <f>'Sch OL-TOU Cust Fcst'!$C33*'Non-Residential TSM UC Adj'!K34</f>
        <v>0</v>
      </c>
      <c r="H34" s="23">
        <f>'Sch OL-TOU Cust Fcst'!$C33*'Non-Residential TSM UC Adj'!L34</f>
        <v>0</v>
      </c>
      <c r="I34" s="45">
        <f>IF(SUM(F34:H34)=0,0,SUM(F34:H34)/'Sch AL-TOU Cust Fcst'!C33)</f>
        <v>0</v>
      </c>
      <c r="J34" s="137">
        <f>'Sch OL-TOU Cust Fcst'!$D33*'Non-Residential TSM UC Adj'!J34</f>
        <v>0</v>
      </c>
      <c r="K34" s="23">
        <f>'Sch OL-TOU Cust Fcst'!$D33*'Non-Residential TSM UC Adj'!K34</f>
        <v>0</v>
      </c>
      <c r="L34" s="23">
        <f>'Sch OL-TOU Cust Fcst'!$D33*'Non-Residential TSM UC Adj'!L34</f>
        <v>0</v>
      </c>
      <c r="M34" s="45">
        <f>IF(SUM(J34:L34)=0,0,SUM(J34:L34)/'Sch AL-TOU Cust Fcst'!D33)</f>
        <v>0</v>
      </c>
      <c r="N34" s="137">
        <f>'Sch OL-TOU Cust Fcst'!$E33*'Non-Residential TSM UC Adj'!N34</f>
        <v>0</v>
      </c>
      <c r="O34" s="23">
        <f>'Sch OL-TOU Cust Fcst'!$E33*'Non-Residential TSM UC Adj'!O34</f>
        <v>0</v>
      </c>
      <c r="P34" s="23">
        <f>'Sch OL-TOU Cust Fcst'!$E33*'Non-Residential TSM UC Adj'!P34</f>
        <v>0</v>
      </c>
      <c r="Q34" s="45">
        <f>IF(SUM(N34:P34)=0,0,SUM(N34:P34)/'Sch AL-TOU Cust Fcst'!E33)</f>
        <v>0</v>
      </c>
      <c r="R34" s="23">
        <f t="shared" si="1"/>
        <v>0</v>
      </c>
      <c r="S34" s="23">
        <f t="shared" si="2"/>
        <v>0</v>
      </c>
      <c r="T34" s="23">
        <f t="shared" si="3"/>
        <v>0</v>
      </c>
      <c r="U34" s="45">
        <f>IF(SUM(R34:T34)=0,0,SUM(R34:T34)/'Sch AL-TOU Cust Fcst'!F33)</f>
        <v>0</v>
      </c>
    </row>
    <row r="35" spans="1:21">
      <c r="A35" s="153" t="s">
        <v>126</v>
      </c>
      <c r="B35" s="137">
        <f>'Sch OL-TOU Cust Fcst'!$B34*'Non-Residential TSM UC Adj'!J35</f>
        <v>0</v>
      </c>
      <c r="C35" s="23">
        <f>'Sch OL-TOU Cust Fcst'!$B34*'Non-Residential TSM UC Adj'!K35</f>
        <v>0</v>
      </c>
      <c r="D35" s="23">
        <f>'Sch OL-TOU Cust Fcst'!$B34*'Non-Residential TSM UC Adj'!L35</f>
        <v>0</v>
      </c>
      <c r="E35" s="45">
        <f>IF(SUM(B35:D35)=0,0,SUM(B35:D35)/'Sch AL-TOU Cust Fcst'!B34)</f>
        <v>0</v>
      </c>
      <c r="F35" s="137">
        <f>'Sch OL-TOU Cust Fcst'!$C34*'Non-Residential TSM UC Adj'!J35</f>
        <v>0</v>
      </c>
      <c r="G35" s="23">
        <f>'Sch OL-TOU Cust Fcst'!$C34*'Non-Residential TSM UC Adj'!K35</f>
        <v>0</v>
      </c>
      <c r="H35" s="23">
        <f>'Sch OL-TOU Cust Fcst'!$C34*'Non-Residential TSM UC Adj'!L35</f>
        <v>0</v>
      </c>
      <c r="I35" s="45">
        <f>IF(SUM(F35:H35)=0,0,SUM(F35:H35)/'Sch AL-TOU Cust Fcst'!C34)</f>
        <v>0</v>
      </c>
      <c r="J35" s="137">
        <f>'Sch OL-TOU Cust Fcst'!$D34*'Non-Residential TSM UC Adj'!J35</f>
        <v>0</v>
      </c>
      <c r="K35" s="23">
        <f>'Sch OL-TOU Cust Fcst'!$D34*'Non-Residential TSM UC Adj'!K35</f>
        <v>0</v>
      </c>
      <c r="L35" s="23">
        <f>'Sch OL-TOU Cust Fcst'!$D34*'Non-Residential TSM UC Adj'!L35</f>
        <v>0</v>
      </c>
      <c r="M35" s="45">
        <f>IF(SUM(J35:L35)=0,0,SUM(J35:L35)/'Sch AL-TOU Cust Fcst'!D34)</f>
        <v>0</v>
      </c>
      <c r="N35" s="137">
        <f>'Sch OL-TOU Cust Fcst'!$E34*'Non-Residential TSM UC Adj'!N35</f>
        <v>0</v>
      </c>
      <c r="O35" s="23">
        <f>'Sch OL-TOU Cust Fcst'!$E34*'Non-Residential TSM UC Adj'!O35</f>
        <v>0</v>
      </c>
      <c r="P35" s="23">
        <f>'Sch OL-TOU Cust Fcst'!$E34*'Non-Residential TSM UC Adj'!P35</f>
        <v>0</v>
      </c>
      <c r="Q35" s="45">
        <f>IF(SUM(N35:P35)=0,0,SUM(N35:P35)/'Sch AL-TOU Cust Fcst'!E34)</f>
        <v>0</v>
      </c>
      <c r="R35" s="23">
        <f t="shared" si="1"/>
        <v>0</v>
      </c>
      <c r="S35" s="23">
        <f t="shared" si="2"/>
        <v>0</v>
      </c>
      <c r="T35" s="23">
        <f t="shared" si="3"/>
        <v>0</v>
      </c>
      <c r="U35" s="45">
        <f>IF(SUM(R35:T35)=0,0,SUM(R35:T35)/'Sch AL-TOU Cust Fcst'!F34)</f>
        <v>0</v>
      </c>
    </row>
    <row r="36" spans="1:21">
      <c r="A36" s="155" t="s">
        <v>26</v>
      </c>
      <c r="B36" s="137">
        <f>'Sch OL-TOU Cust Fcst'!$B35*'Non-Residential TSM UC Adj'!J36</f>
        <v>0</v>
      </c>
      <c r="C36" s="23">
        <f>'Sch OL-TOU Cust Fcst'!$B35*'Non-Residential TSM UC Adj'!K36</f>
        <v>0</v>
      </c>
      <c r="D36" s="23">
        <f>'Sch OL-TOU Cust Fcst'!$B35*'Non-Residential TSM UC Adj'!L36</f>
        <v>0</v>
      </c>
      <c r="E36" s="45">
        <f>IF(SUM(B36:D36)=0,0,SUM(B36:D36)/'Sch AL-TOU Cust Fcst'!B35)</f>
        <v>0</v>
      </c>
      <c r="F36" s="137">
        <f>'Sch OL-TOU Cust Fcst'!$C35*'Non-Residential TSM UC Adj'!J36</f>
        <v>0</v>
      </c>
      <c r="G36" s="23">
        <f>'Sch OL-TOU Cust Fcst'!$C35*'Non-Residential TSM UC Adj'!K36</f>
        <v>0</v>
      </c>
      <c r="H36" s="23">
        <f>'Sch OL-TOU Cust Fcst'!$C35*'Non-Residential TSM UC Adj'!L36</f>
        <v>0</v>
      </c>
      <c r="I36" s="45">
        <f>IF(SUM(F36:H36)=0,0,SUM(F36:H36)/'Sch AL-TOU Cust Fcst'!C35)</f>
        <v>0</v>
      </c>
      <c r="J36" s="137">
        <f>'Sch OL-TOU Cust Fcst'!$D35*'Non-Residential TSM UC Adj'!J36</f>
        <v>0</v>
      </c>
      <c r="K36" s="23">
        <f>'Sch OL-TOU Cust Fcst'!$D35*'Non-Residential TSM UC Adj'!K36</f>
        <v>0</v>
      </c>
      <c r="L36" s="23">
        <f>'Sch OL-TOU Cust Fcst'!$D35*'Non-Residential TSM UC Adj'!L36</f>
        <v>0</v>
      </c>
      <c r="M36" s="45">
        <f>IF(SUM(J36:L36)=0,0,SUM(J36:L36)/'Sch AL-TOU Cust Fcst'!D35)</f>
        <v>0</v>
      </c>
      <c r="N36" s="137">
        <f>'Sch OL-TOU Cust Fcst'!$E35*'Non-Residential TSM UC Adj'!N36</f>
        <v>0</v>
      </c>
      <c r="O36" s="23">
        <f>'Sch OL-TOU Cust Fcst'!$E35*'Non-Residential TSM UC Adj'!O36</f>
        <v>0</v>
      </c>
      <c r="P36" s="23">
        <f>'Sch OL-TOU Cust Fcst'!$E35*'Non-Residential TSM UC Adj'!P36</f>
        <v>0</v>
      </c>
      <c r="Q36" s="45">
        <f>IF(SUM(N36:P36)=0,0,SUM(N36:P36)/'Sch AL-TOU Cust Fcst'!E35)</f>
        <v>0</v>
      </c>
      <c r="R36" s="23">
        <f t="shared" si="1"/>
        <v>0</v>
      </c>
      <c r="S36" s="23">
        <f t="shared" si="2"/>
        <v>0</v>
      </c>
      <c r="T36" s="23">
        <f t="shared" si="3"/>
        <v>0</v>
      </c>
      <c r="U36" s="45">
        <f>IF(SUM(R36:T36)=0,0,SUM(R36:T36)/'Sch AL-TOU Cust Fcst'!F35)</f>
        <v>0</v>
      </c>
    </row>
    <row r="37" spans="1:21">
      <c r="A37" s="155" t="s">
        <v>27</v>
      </c>
      <c r="B37" s="137">
        <f>'Sch OL-TOU Cust Fcst'!$B36*'Non-Residential TSM UC Adj'!J37</f>
        <v>0</v>
      </c>
      <c r="C37" s="23">
        <f>'Sch OL-TOU Cust Fcst'!$B36*'Non-Residential TSM UC Adj'!K37</f>
        <v>0</v>
      </c>
      <c r="D37" s="23">
        <f>'Sch OL-TOU Cust Fcst'!$B36*'Non-Residential TSM UC Adj'!L37</f>
        <v>0</v>
      </c>
      <c r="E37" s="45">
        <f>IF(SUM(B37:D37)=0,0,SUM(B37:D37)/'Sch AL-TOU Cust Fcst'!B36)</f>
        <v>0</v>
      </c>
      <c r="F37" s="137">
        <f>'Sch OL-TOU Cust Fcst'!$C36*'Non-Residential TSM UC Adj'!J37</f>
        <v>0</v>
      </c>
      <c r="G37" s="23">
        <f>'Sch OL-TOU Cust Fcst'!$C36*'Non-Residential TSM UC Adj'!K37</f>
        <v>0</v>
      </c>
      <c r="H37" s="23">
        <f>'Sch OL-TOU Cust Fcst'!$C36*'Non-Residential TSM UC Adj'!L37</f>
        <v>0</v>
      </c>
      <c r="I37" s="45">
        <f>IF(SUM(F37:H37)=0,0,SUM(F37:H37)/'Sch AL-TOU Cust Fcst'!C36)</f>
        <v>0</v>
      </c>
      <c r="J37" s="137">
        <f>'Sch OL-TOU Cust Fcst'!$D36*'Non-Residential TSM UC Adj'!J37</f>
        <v>0</v>
      </c>
      <c r="K37" s="23">
        <f>'Sch OL-TOU Cust Fcst'!$D36*'Non-Residential TSM UC Adj'!K37</f>
        <v>0</v>
      </c>
      <c r="L37" s="23">
        <f>'Sch OL-TOU Cust Fcst'!$D36*'Non-Residential TSM UC Adj'!L37</f>
        <v>0</v>
      </c>
      <c r="M37" s="45">
        <f>IF(SUM(J37:L37)=0,0,SUM(J37:L37)/'Sch AL-TOU Cust Fcst'!D36)</f>
        <v>0</v>
      </c>
      <c r="N37" s="137">
        <f>'Sch OL-TOU Cust Fcst'!$E36*'Non-Residential TSM UC Adj'!N37</f>
        <v>0</v>
      </c>
      <c r="O37" s="23">
        <f>'Sch OL-TOU Cust Fcst'!$E36*'Non-Residential TSM UC Adj'!O37</f>
        <v>0</v>
      </c>
      <c r="P37" s="23">
        <f>'Sch OL-TOU Cust Fcst'!$E36*'Non-Residential TSM UC Adj'!P37</f>
        <v>0</v>
      </c>
      <c r="Q37" s="45">
        <f>IF(SUM(N37:P37)=0,0,SUM(N37:P37)/'Sch AL-TOU Cust Fcst'!E36)</f>
        <v>0</v>
      </c>
      <c r="R37" s="23">
        <f t="shared" si="1"/>
        <v>0</v>
      </c>
      <c r="S37" s="23">
        <f t="shared" si="2"/>
        <v>0</v>
      </c>
      <c r="T37" s="23">
        <f t="shared" si="3"/>
        <v>0</v>
      </c>
      <c r="U37" s="45">
        <f>IF(SUM(R37:T37)=0,0,SUM(R37:T37)/'Sch AL-TOU Cust Fcst'!F36)</f>
        <v>0</v>
      </c>
    </row>
    <row r="38" spans="1:21" ht="13.5" thickBot="1">
      <c r="A38" s="11"/>
      <c r="B38" s="137"/>
      <c r="C38" s="23"/>
      <c r="D38" s="23"/>
      <c r="E38" s="45"/>
      <c r="F38" s="137"/>
      <c r="G38" s="23"/>
      <c r="H38" s="23"/>
      <c r="I38" s="45"/>
      <c r="J38" s="137"/>
      <c r="K38" s="23"/>
      <c r="L38" s="23"/>
      <c r="M38" s="45"/>
      <c r="N38" s="137"/>
      <c r="O38" s="23"/>
      <c r="P38" s="23"/>
      <c r="Q38" s="45"/>
      <c r="R38" s="23"/>
      <c r="S38" s="23"/>
      <c r="T38" s="23"/>
      <c r="U38" s="14"/>
    </row>
    <row r="39" spans="1:21" ht="13.5" thickBot="1">
      <c r="A39" s="245" t="s">
        <v>2</v>
      </c>
      <c r="B39" s="317">
        <f>IF(SUM(B$7:B$37)=0,0,SUM(B$7:B$37)/'Sch OL-TOU Cust Fcst'!$B38)</f>
        <v>3530.3974145066272</v>
      </c>
      <c r="C39" s="318">
        <f>IF(SUM(C$7:C$37)=0,0,SUM(C$7:C$37)/'Sch OL-TOU Cust Fcst'!$B38)</f>
        <v>484.92305638427803</v>
      </c>
      <c r="D39" s="318">
        <f>IF(SUM(D$7:D$37)=0,0,SUM(D$7:D$37)/'Sch OL-TOU Cust Fcst'!$B38)</f>
        <v>234.29973156037588</v>
      </c>
      <c r="E39" s="319">
        <f>SUM(B39:D39)</f>
        <v>4249.6202024512813</v>
      </c>
      <c r="F39" s="317">
        <f>IF(SUM(F$7:F$37)=0,0,SUM(F$7:F$37)/'Sch OL-TOU Cust Fcst'!$C38)</f>
        <v>0</v>
      </c>
      <c r="G39" s="318">
        <f>IF(SUM(G$7:G$37)=0,0,SUM(G$7:G$37)/'Sch OL-TOU Cust Fcst'!$C38)</f>
        <v>0</v>
      </c>
      <c r="H39" s="318">
        <f>IF(SUM(H$7:H$37)=0,0,SUM(H$7:H$37)/'Sch OL-TOU Cust Fcst'!$C38)</f>
        <v>0</v>
      </c>
      <c r="I39" s="319">
        <f>SUM(F39:H39)</f>
        <v>0</v>
      </c>
      <c r="J39" s="317">
        <f>IF(SUM(J$7:J$37)=0,0,SUM(J$7:J$37)/'Sch OL-TOU Cust Fcst'!$D38)</f>
        <v>14978.560674938424</v>
      </c>
      <c r="K39" s="318">
        <f>IF(SUM(K$7:K$37)=0,0,SUM(K$7:K$37)/'Sch OL-TOU Cust Fcst'!$D38)</f>
        <v>2160.82490226049</v>
      </c>
      <c r="L39" s="318">
        <f>IF(SUM(L$7:L$37)=0,0,SUM(L$7:L$37)/'Sch OL-TOU Cust Fcst'!$D38)</f>
        <v>583.7196746258179</v>
      </c>
      <c r="M39" s="319">
        <f>SUM(J39:L39)</f>
        <v>17723.105251824734</v>
      </c>
      <c r="N39" s="317">
        <f>IF(SUM(N$7:N$37)=0,0,SUM(N$7:N$37)/'Sch OL-TOU Cust Fcst'!$E38)</f>
        <v>12819.71244833823</v>
      </c>
      <c r="O39" s="318">
        <f>IF(SUM(O$7:O$37)=0,0,SUM(O$7:O$37)/'Sch OL-TOU Cust Fcst'!$E38)</f>
        <v>1773.3822604306529</v>
      </c>
      <c r="P39" s="318">
        <f>IF(SUM(P$7:P$37)=0,0,SUM(P$7:P$37)/'Sch OL-TOU Cust Fcst'!$E38)</f>
        <v>752.89338002522368</v>
      </c>
      <c r="Q39" s="319">
        <f>SUM(N39:P39)</f>
        <v>15345.988088794107</v>
      </c>
      <c r="R39" s="317">
        <f>IF(SUM(R$7:R$37)=0,0,SUM(R$7:R$37)/'Sch OL-TOU Cust Fcst'!$F38)</f>
        <v>12305.407077928105</v>
      </c>
      <c r="S39" s="318">
        <f>IF(SUM(S$7:S$37)=0,0,SUM(S$7:S$37)/'Sch OL-TOU Cust Fcst'!$F38)</f>
        <v>1720.2539238389252</v>
      </c>
      <c r="T39" s="318">
        <f>IF(SUM(T$7:T$37)=0,0,SUM(T$7:T$37)/'Sch OL-TOU Cust Fcst'!$F38)</f>
        <v>664.24430492898307</v>
      </c>
      <c r="U39" s="319">
        <f>SUM(R39:T39)</f>
        <v>14689.905306696013</v>
      </c>
    </row>
    <row r="40" spans="1:21">
      <c r="A40" s="153" t="s">
        <v>185</v>
      </c>
      <c r="B40" s="137">
        <f>IF(SUM(B$7:B$20)=0,0,SUM(B$7:B$20)/'Sch OL-TOU Cust Fcst'!$B39)</f>
        <v>3530.3974145066272</v>
      </c>
      <c r="C40" s="23">
        <f>IF(SUM(C$7:C$20)=0,0,SUM(C$7:C$20)/'Sch OL-TOU Cust Fcst'!$B39)</f>
        <v>484.92305638427803</v>
      </c>
      <c r="D40" s="23">
        <f>IF(SUM(D$7:D$20)=0,0,SUM(D$7:D$20)/'Sch OL-TOU Cust Fcst'!$B39)</f>
        <v>234.29973156037588</v>
      </c>
      <c r="E40" s="45">
        <f>SUM(B40:D40)</f>
        <v>4249.6202024512813</v>
      </c>
      <c r="F40" s="137">
        <f>IF(SUM(F$7:F$20)=0,0,SUM(F$7:F$20)/'Sch OL-TOU Cust Fcst'!$C39)</f>
        <v>0</v>
      </c>
      <c r="G40" s="23">
        <f>IF(SUM(G$7:G$20)=0,0,SUM(G$7:G$20)/'Sch OL-TOU Cust Fcst'!$C39)</f>
        <v>0</v>
      </c>
      <c r="H40" s="23">
        <f>IF(SUM(H$7:H$20)=0,0,SUM(H$7:H$20)/'Sch OL-TOU Cust Fcst'!$C39)</f>
        <v>0</v>
      </c>
      <c r="I40" s="45">
        <f>SUM(F40:H40)</f>
        <v>0</v>
      </c>
      <c r="J40" s="137">
        <f>IF(SUM(J$7:J$20)=0,0,SUM(J$7:J$20)/'Sch OL-TOU Cust Fcst'!$D39)</f>
        <v>14978.560674938424</v>
      </c>
      <c r="K40" s="23">
        <f>IF(SUM(K$7:K$20)=0,0,SUM(K$7:K$20)/'Sch OL-TOU Cust Fcst'!$D39)</f>
        <v>2160.82490226049</v>
      </c>
      <c r="L40" s="23">
        <f>IF(SUM(L$7:L$20)=0,0,SUM(L$7:L$20)/'Sch OL-TOU Cust Fcst'!$D39)</f>
        <v>583.7196746258179</v>
      </c>
      <c r="M40" s="45">
        <f>SUM(J40:L40)</f>
        <v>17723.105251824734</v>
      </c>
      <c r="N40" s="137">
        <f>IF(SUM(N$7:N$20)=0,0,SUM(N$7:N$20)/'Sch OL-TOU Cust Fcst'!$E39)</f>
        <v>12819.71244833823</v>
      </c>
      <c r="O40" s="23">
        <f>IF(SUM(O$7:O$20)=0,0,SUM(O$7:O$20)/'Sch OL-TOU Cust Fcst'!$E39)</f>
        <v>1773.3822604306529</v>
      </c>
      <c r="P40" s="23">
        <f>IF(SUM(P$7:P$20)=0,0,SUM(P$7:P$20)/'Sch OL-TOU Cust Fcst'!$E39)</f>
        <v>752.89338002522368</v>
      </c>
      <c r="Q40" s="45">
        <f>SUM(N40:P40)</f>
        <v>15345.988088794107</v>
      </c>
      <c r="R40" s="137">
        <f>IF(SUM(R$7:R$20)=0,0,SUM(R$7:R$20)/'Sch OL-TOU Cust Fcst'!$F39)</f>
        <v>12305.407077928105</v>
      </c>
      <c r="S40" s="23">
        <f>IF(SUM(S$7:S$20)=0,0,SUM(S$7:S$20)/'Sch OL-TOU Cust Fcst'!$F39)</f>
        <v>1720.2539238389252</v>
      </c>
      <c r="T40" s="23">
        <f>IF(SUM(T$7:T$20)=0,0,SUM(T$7:T$20)/'Sch OL-TOU Cust Fcst'!$F39)</f>
        <v>664.24430492898307</v>
      </c>
      <c r="U40" s="45">
        <f>SUM(R40:T40)</f>
        <v>14689.905306696013</v>
      </c>
    </row>
    <row r="41" spans="1:21">
      <c r="A41" s="153" t="s">
        <v>139</v>
      </c>
      <c r="B41" s="137">
        <f>IF(SUM(B$21:B$34)=0,0,SUM(B$21:B$33)/'Sch OL-TOU Cust Fcst'!$B40)</f>
        <v>0</v>
      </c>
      <c r="C41" s="23">
        <f>IF(SUM(C$21:C$34)=0,0,SUM(C$21:C$33)/'Sch OL-TOU Cust Fcst'!$B40)</f>
        <v>0</v>
      </c>
      <c r="D41" s="23">
        <f>IF(SUM(D$21:D$34)=0,0,SUM(D$21:D$33)/'Sch OL-TOU Cust Fcst'!$B40)</f>
        <v>0</v>
      </c>
      <c r="E41" s="45">
        <f>SUM(B41:D41)</f>
        <v>0</v>
      </c>
      <c r="F41" s="137">
        <f>IF(SUM(F$21:F$34)=0,0,SUM(F$21:F$33)/'Sch OL-TOU Cust Fcst'!$C40)</f>
        <v>0</v>
      </c>
      <c r="G41" s="23">
        <f>IF(SUM(G$21:G$34)=0,0,SUM(G$21:G$33)/'Sch OL-TOU Cust Fcst'!$C40)</f>
        <v>0</v>
      </c>
      <c r="H41" s="23">
        <f>IF(SUM(H$21:H$34)=0,0,SUM(H$21:H$33)/'Sch OL-TOU Cust Fcst'!$C40)</f>
        <v>0</v>
      </c>
      <c r="I41" s="45">
        <f>SUM(F41:H41)</f>
        <v>0</v>
      </c>
      <c r="J41" s="137">
        <f>IF(SUM(J$21:J$34)=0,0,SUM(J$21:J$33)/'Sch OL-TOU Cust Fcst'!$D40)</f>
        <v>0</v>
      </c>
      <c r="K41" s="23">
        <f>IF(SUM(K$21:K$34)=0,0,SUM(K$21:K$33)/'Sch OL-TOU Cust Fcst'!$D40)</f>
        <v>0</v>
      </c>
      <c r="L41" s="23">
        <f>IF(SUM(L$21:L$34)=0,0,SUM(L$21:L$33)/'Sch OL-TOU Cust Fcst'!$D40)</f>
        <v>0</v>
      </c>
      <c r="M41" s="45">
        <f>SUM(J41:L41)</f>
        <v>0</v>
      </c>
      <c r="N41" s="137">
        <f>IF(SUM(N$21:N$34)=0,0,SUM(N$21:N$33)/'Sch OL-TOU Cust Fcst'!$E40)</f>
        <v>0</v>
      </c>
      <c r="O41" s="23">
        <f>IF(SUM(O$21:O$34)=0,0,SUM(O$21:O$33)/'Sch OL-TOU Cust Fcst'!$E40)</f>
        <v>0</v>
      </c>
      <c r="P41" s="23">
        <f>IF(SUM(P$21:P$34)=0,0,SUM(P$21:P$33)/'Sch OL-TOU Cust Fcst'!$E40)</f>
        <v>0</v>
      </c>
      <c r="Q41" s="45">
        <f>SUM(N41:P41)</f>
        <v>0</v>
      </c>
      <c r="R41" s="137">
        <f>IF(SUM(R$21:R$34)=0,0,SUM(R$21:R$33)/'Sch OL-TOU Cust Fcst'!$F40)</f>
        <v>0</v>
      </c>
      <c r="S41" s="23">
        <f>IF(SUM(S$21:S$34)=0,0,SUM(S$21:S$33)/'Sch OL-TOU Cust Fcst'!$F40)</f>
        <v>0</v>
      </c>
      <c r="T41" s="23">
        <f>IF(SUM(T$21:T$34)=0,0,SUM(T$21:T$33)/'Sch OL-TOU Cust Fcst'!$F40)</f>
        <v>0</v>
      </c>
      <c r="U41" s="45">
        <f>SUM(R41:T41)</f>
        <v>0</v>
      </c>
    </row>
    <row r="42" spans="1:21" ht="13.5" thickBot="1">
      <c r="A42" s="243" t="s">
        <v>100</v>
      </c>
      <c r="B42" s="244">
        <f>IF(SUM(B$35:B$37)=0,0,SUM(B$35:B$37)/'Sch OL-TOU Cust Fcst'!$B41)</f>
        <v>0</v>
      </c>
      <c r="C42" s="240">
        <f>IF(SUM(C$35:C$37)=0,0,SUM(C$35:C$37)/'Sch OL-TOU Cust Fcst'!$B41)</f>
        <v>0</v>
      </c>
      <c r="D42" s="240">
        <f>IF(SUM(D$35:D$37)=0,0,SUM(D$35:D$37)/'Sch OL-TOU Cust Fcst'!$B41)</f>
        <v>0</v>
      </c>
      <c r="E42" s="249">
        <f>SUM(B42:D42)</f>
        <v>0</v>
      </c>
      <c r="F42" s="244">
        <f>IF(SUM(F$35:F$37)=0,0,SUM(F$35:F$37)/'Sch OL-TOU Cust Fcst'!$C41)</f>
        <v>0</v>
      </c>
      <c r="G42" s="240">
        <f>IF(SUM(G$35:G$37)=0,0,SUM(G$35:G$37)/'Sch OL-TOU Cust Fcst'!$C41)</f>
        <v>0</v>
      </c>
      <c r="H42" s="240">
        <f>IF(SUM(H$35:H$37)=0,0,SUM(H$35:H$37)/'Sch OL-TOU Cust Fcst'!$C41)</f>
        <v>0</v>
      </c>
      <c r="I42" s="249">
        <f>SUM(F42:H42)</f>
        <v>0</v>
      </c>
      <c r="J42" s="244">
        <f>IF(SUM(J$35:J$37)=0,0,SUM(J$35:J$37)/'Sch OL-TOU Cust Fcst'!$D41)</f>
        <v>0</v>
      </c>
      <c r="K42" s="240">
        <f>IF(SUM(K$35:K$37)=0,0,SUM(K$35:K$37)/'Sch OL-TOU Cust Fcst'!$D41)</f>
        <v>0</v>
      </c>
      <c r="L42" s="240">
        <f>IF(SUM(L$35:L$37)=0,0,SUM(L$35:L$37)/'Sch OL-TOU Cust Fcst'!$D41)</f>
        <v>0</v>
      </c>
      <c r="M42" s="249">
        <f>SUM(J42:L42)</f>
        <v>0</v>
      </c>
      <c r="N42" s="244">
        <f>IF(SUM(N$35:N$37)=0,0,SUM(N$35:N$37)/'Sch OL-TOU Cust Fcst'!$E41)</f>
        <v>0</v>
      </c>
      <c r="O42" s="240">
        <f>IF(SUM(O$35:O$37)=0,0,SUM(O$35:O$37)/'Sch OL-TOU Cust Fcst'!$E41)</f>
        <v>0</v>
      </c>
      <c r="P42" s="240">
        <f>IF(SUM(P$35:P$37)=0,0,SUM(P$35:P$37)/'Sch OL-TOU Cust Fcst'!$E41)</f>
        <v>0</v>
      </c>
      <c r="Q42" s="249">
        <f>SUM(N42:P42)</f>
        <v>0</v>
      </c>
      <c r="R42" s="244">
        <f>IF(SUM(R$35:R$37)=0,0,SUM(R$35:R$37)/'Sch OL-TOU Cust Fcst'!$F41)</f>
        <v>0</v>
      </c>
      <c r="S42" s="240">
        <f>IF(SUM(S$35:S$37)=0,0,SUM(S$35:S$37)/'Sch OL-TOU Cust Fcst'!$F41)</f>
        <v>0</v>
      </c>
      <c r="T42" s="240">
        <f>IF(SUM(T$35:T$37)=0,0,SUM(T$35:T$37)/'Sch OL-TOU Cust Fcst'!$F41)</f>
        <v>0</v>
      </c>
      <c r="U42" s="249">
        <f>SUM(R42:T42)</f>
        <v>0</v>
      </c>
    </row>
    <row r="44" spans="1:21">
      <c r="A44" s="340" t="s">
        <v>102</v>
      </c>
      <c r="E44" s="391">
        <f>IF(SUM(B7:D37)=0,0,SUM(B7:D37)/'Sch OL-TOU Cust Fcst'!B38)-E39</f>
        <v>0</v>
      </c>
      <c r="I44" s="391">
        <f>IF(SUM(F7:H37)=0,0,SUM(F7:H37)/'Sch OL-TOU Cust Fcst'!C38)-I39</f>
        <v>0</v>
      </c>
      <c r="M44" s="391">
        <f>IF(SUM(J7:L37)=0,0,SUM(J7:L37)/'Sch OL-TOU Cust Fcst'!D38)-M39</f>
        <v>0</v>
      </c>
      <c r="Q44" s="391">
        <f>IF(SUM(N7:P37)=0,0,SUM(N7:P37)/'Sch OL-TOU Cust Fcst'!E38)-Q39</f>
        <v>0</v>
      </c>
      <c r="U44" s="391">
        <f>IF(SUM(R7:T37)=0,0,SUM(R7:T37)/'Sch OL-TOU Cust Fcst'!F38)-U39</f>
        <v>0</v>
      </c>
    </row>
    <row r="45" spans="1:21">
      <c r="E45" s="391">
        <f>IF(SUM(B7:D20)=0,0,SUM(B7:D20)/'Sch OL-TOU Cust Fcst'!B39)-E40</f>
        <v>0</v>
      </c>
      <c r="I45" s="391">
        <f>IF(SUM(F7:H20)=0,0,SUM(F7:H20)/'Sch OL-TOU Cust Fcst'!C39)-I40</f>
        <v>0</v>
      </c>
      <c r="M45" s="391">
        <f>IF(SUM(J7:L20)=0,0,SUM(J7:L20)/'Sch OL-TOU Cust Fcst'!D39)-M40</f>
        <v>0</v>
      </c>
      <c r="Q45" s="391">
        <f>IF(SUM(N7:P20)=0,0,SUM(N7:P20)/'Sch OL-TOU Cust Fcst'!E39)-Q40</f>
        <v>0</v>
      </c>
      <c r="U45" s="391">
        <f>IF(SUM(R7:T20)=0,0,SUM(R7:T20)/'Sch OL-TOU Cust Fcst'!F39)-U40</f>
        <v>0</v>
      </c>
    </row>
    <row r="46" spans="1:21">
      <c r="E46" s="391">
        <f>IF(SUM(B21:D34)=0,0,SUM(B21:D34)/'Sch OL-TOU Cust Fcst'!B40)-E41</f>
        <v>0</v>
      </c>
      <c r="I46" s="391">
        <f>IF(SUM(F21:H34)=0,0,SUM(F21:H34)/'Sch OL-TOU Cust Fcst'!C40)-I41</f>
        <v>0</v>
      </c>
      <c r="M46" s="391">
        <f>IF(SUM(J21:L34)=0,0,SUM(J21:L34)/'Sch OL-TOU Cust Fcst'!D40)-M41</f>
        <v>0</v>
      </c>
      <c r="Q46" s="391">
        <f>IF(SUM(N21:P34)=0,0,SUM(N21:P34)/'Sch OL-TOU Cust Fcst'!E40)-Q41</f>
        <v>0</v>
      </c>
      <c r="U46" s="391">
        <f>IF(SUM(R21:T34)=0,0,SUM(R21:T34)/'Sch OL-TOU Cust Fcst'!F40)-U41</f>
        <v>0</v>
      </c>
    </row>
    <row r="47" spans="1:21">
      <c r="E47" s="391">
        <f>IF(SUM(B35:D35)=0,0,SUM(B35:D35)/'Sch OL-TOU Cust Fcst'!B41)-E42</f>
        <v>0</v>
      </c>
      <c r="I47" s="391">
        <f>IF(SUM(F35:H35)=0,0,SUM(F35:H35)/'Sch OL-TOU Cust Fcst'!C41)-I42</f>
        <v>0</v>
      </c>
      <c r="M47" s="391">
        <f>IF(SUM(J35:L35)=0,0,SUM(J35:L35)/'Sch OL-TOU Cust Fcst'!D41)-M42</f>
        <v>0</v>
      </c>
      <c r="Q47" s="391">
        <f>IF(SUM(N35:P35)=0,0,SUM(N35:P35)/'Sch OL-TOU Cust Fcst'!E41)-Q42</f>
        <v>0</v>
      </c>
      <c r="U47" s="391">
        <f>IF(SUM(R35:T35)=0,0,SUM(R35:T35)/'Sch OL-TOU Cust Fcst'!F41)-U42</f>
        <v>0</v>
      </c>
    </row>
    <row r="54" spans="1:1">
      <c r="A54" s="19"/>
    </row>
  </sheetData>
  <mergeCells count="8">
    <mergeCell ref="R3:U3"/>
    <mergeCell ref="A1:Q1"/>
    <mergeCell ref="B2:Q2"/>
    <mergeCell ref="R2:U2"/>
    <mergeCell ref="B3:E3"/>
    <mergeCell ref="F3:I3"/>
    <mergeCell ref="J3:M3"/>
    <mergeCell ref="N3:Q3"/>
  </mergeCells>
  <printOptions horizontalCentered="1"/>
  <pageMargins left="0.75" right="0.75" top="1" bottom="1" header="0.5" footer="0.5"/>
  <pageSetup scale="54" orientation="portrait" r:id="rId1"/>
  <headerFooter alignWithMargins="0">
    <oddFooter>&amp;L&amp;F
&amp;A&amp;R&amp;P of &amp;N</oddFooter>
  </headerFooter>
  <colBreaks count="1" manualBreakCount="1">
    <brk id="13" max="41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pageSetUpPr fitToPage="1"/>
  </sheetPr>
  <dimension ref="A1:G46"/>
  <sheetViews>
    <sheetView zoomScaleNormal="100" workbookViewId="0">
      <selection activeCell="B6" sqref="B6"/>
    </sheetView>
  </sheetViews>
  <sheetFormatPr defaultRowHeight="12.75"/>
  <cols>
    <col min="2" max="2" width="70.7109375" customWidth="1"/>
    <col min="3" max="3" width="34.7109375" customWidth="1"/>
    <col min="4" max="4" width="9.140625" style="201"/>
  </cols>
  <sheetData>
    <row r="1" spans="2:7" s="78" customFormat="1">
      <c r="B1" s="77"/>
      <c r="D1" s="199"/>
    </row>
    <row r="2" spans="2:7" s="78" customFormat="1" ht="13.5" thickBot="1">
      <c r="B2" s="80" t="s">
        <v>72</v>
      </c>
      <c r="C2" s="81"/>
      <c r="D2" s="199"/>
    </row>
    <row r="3" spans="2:7" s="78" customFormat="1">
      <c r="B3" s="128" t="s">
        <v>372</v>
      </c>
      <c r="C3" s="577">
        <v>2.7723662892949787E-2</v>
      </c>
      <c r="D3" s="200"/>
    </row>
    <row r="4" spans="2:7" s="78" customFormat="1">
      <c r="B4" s="33" t="s">
        <v>455</v>
      </c>
      <c r="C4" s="746">
        <v>1.5023E-2</v>
      </c>
      <c r="D4" s="200"/>
    </row>
    <row r="5" spans="2:7" s="78" customFormat="1">
      <c r="B5" s="152" t="s">
        <v>524</v>
      </c>
      <c r="C5" s="639">
        <v>8.047866253352963E-2</v>
      </c>
      <c r="D5" s="200"/>
    </row>
    <row r="6" spans="2:7" s="78" customFormat="1">
      <c r="B6" s="152" t="s">
        <v>378</v>
      </c>
      <c r="C6" s="639">
        <v>7.0775059941734664E-2</v>
      </c>
      <c r="D6" s="200"/>
    </row>
    <row r="7" spans="2:7" s="78" customFormat="1">
      <c r="B7" s="152" t="s">
        <v>379</v>
      </c>
      <c r="C7" s="639">
        <v>0.1077664493464901</v>
      </c>
      <c r="D7" s="200"/>
    </row>
    <row r="8" spans="2:7" s="78" customFormat="1" ht="13.5" thickBot="1">
      <c r="B8" s="640" t="s">
        <v>377</v>
      </c>
      <c r="C8" s="641">
        <v>0.31455682511593847</v>
      </c>
      <c r="D8" s="200"/>
    </row>
    <row r="9" spans="2:7" s="78" customFormat="1">
      <c r="C9" s="569"/>
      <c r="D9" s="199"/>
    </row>
    <row r="10" spans="2:7" s="78" customFormat="1" ht="13.5" thickBot="1">
      <c r="B10" s="82" t="s">
        <v>71</v>
      </c>
      <c r="C10" s="570"/>
      <c r="D10" s="199"/>
    </row>
    <row r="11" spans="2:7" s="78" customFormat="1">
      <c r="B11" s="79"/>
      <c r="C11" s="578"/>
      <c r="D11" s="199"/>
    </row>
    <row r="12" spans="2:7" s="78" customFormat="1">
      <c r="B12" s="33" t="s">
        <v>386</v>
      </c>
      <c r="C12" s="579">
        <v>1.085144063993809</v>
      </c>
      <c r="D12" s="200"/>
    </row>
    <row r="13" spans="2:7" s="78" customFormat="1">
      <c r="B13" s="33" t="s">
        <v>387</v>
      </c>
      <c r="C13" s="579">
        <v>1.0535477337285415</v>
      </c>
      <c r="D13" s="200"/>
    </row>
    <row r="14" spans="2:7" s="78" customFormat="1" ht="13.5" thickBot="1">
      <c r="B14" s="94" t="s">
        <v>388</v>
      </c>
      <c r="C14" s="580">
        <v>1.0752188869568078</v>
      </c>
      <c r="D14" s="200"/>
      <c r="E14" s="815"/>
      <c r="G14" s="815"/>
    </row>
    <row r="15" spans="2:7" s="78" customFormat="1" ht="13.5" thickBot="1">
      <c r="B15" s="203"/>
      <c r="C15" s="619"/>
      <c r="D15" s="200"/>
    </row>
    <row r="16" spans="2:7" s="78" customFormat="1">
      <c r="B16" s="642" t="s">
        <v>389</v>
      </c>
      <c r="C16" s="738">
        <v>4489781.140500363</v>
      </c>
      <c r="D16" s="200"/>
    </row>
    <row r="17" spans="1:4" s="78" customFormat="1">
      <c r="B17" s="152" t="s">
        <v>390</v>
      </c>
      <c r="C17" s="803">
        <v>1482557.75</v>
      </c>
      <c r="D17" s="200"/>
    </row>
    <row r="18" spans="1:4" s="78" customFormat="1" ht="13.5" thickBot="1">
      <c r="B18" s="640" t="s">
        <v>391</v>
      </c>
      <c r="C18" s="767">
        <f>C16/C17</f>
        <v>3.0284021924274875</v>
      </c>
      <c r="D18" s="200"/>
    </row>
    <row r="19" spans="1:4" s="78" customFormat="1" ht="13.5" thickBot="1">
      <c r="B19" s="241"/>
      <c r="C19" s="737"/>
      <c r="D19" s="200"/>
    </row>
    <row r="20" spans="1:4" s="78" customFormat="1">
      <c r="B20" s="642" t="s">
        <v>454</v>
      </c>
      <c r="C20" s="738">
        <f>3241</f>
        <v>3241</v>
      </c>
      <c r="D20" s="200"/>
    </row>
    <row r="21" spans="1:4" s="78" customFormat="1" ht="13.5" thickBot="1">
      <c r="B21" s="640" t="s">
        <v>509</v>
      </c>
      <c r="C21" s="801">
        <v>0.80862720124374765</v>
      </c>
      <c r="D21" s="200"/>
    </row>
    <row r="22" spans="1:4" s="78" customFormat="1">
      <c r="B22" s="241"/>
      <c r="C22" s="737"/>
      <c r="D22" s="200"/>
    </row>
    <row r="23" spans="1:4" s="78" customFormat="1">
      <c r="B23" s="203"/>
      <c r="C23" s="127"/>
      <c r="D23" s="200"/>
    </row>
    <row r="24" spans="1:4" s="78" customFormat="1">
      <c r="A24" s="84" t="s">
        <v>376</v>
      </c>
      <c r="C24" s="127"/>
      <c r="D24" s="200"/>
    </row>
    <row r="25" spans="1:4">
      <c r="B25" s="568" t="s">
        <v>461</v>
      </c>
      <c r="C25" s="58"/>
    </row>
    <row r="26" spans="1:4">
      <c r="B26" s="568" t="s">
        <v>510</v>
      </c>
      <c r="C26" s="58"/>
    </row>
    <row r="27" spans="1:4">
      <c r="B27" s="568" t="s">
        <v>512</v>
      </c>
      <c r="C27" s="58"/>
    </row>
    <row r="28" spans="1:4">
      <c r="B28" s="568" t="s">
        <v>513</v>
      </c>
      <c r="C28" s="58"/>
    </row>
    <row r="29" spans="1:4">
      <c r="B29" s="816" t="s">
        <v>514</v>
      </c>
      <c r="C29" s="58"/>
    </row>
    <row r="30" spans="1:4">
      <c r="B30" s="816" t="s">
        <v>511</v>
      </c>
      <c r="C30" s="58"/>
    </row>
    <row r="31" spans="1:4">
      <c r="B31" s="568" t="s">
        <v>515</v>
      </c>
      <c r="C31" s="58"/>
    </row>
    <row r="32" spans="1:4">
      <c r="B32" s="696" t="s">
        <v>516</v>
      </c>
      <c r="C32" s="58"/>
    </row>
    <row r="33" spans="2:4">
      <c r="B33" s="568" t="s">
        <v>383</v>
      </c>
      <c r="C33" s="58"/>
    </row>
    <row r="34" spans="2:4">
      <c r="B34" s="76" t="s">
        <v>517</v>
      </c>
    </row>
    <row r="35" spans="2:4">
      <c r="B35" s="76" t="s">
        <v>385</v>
      </c>
    </row>
    <row r="36" spans="2:4">
      <c r="B36" s="76" t="s">
        <v>518</v>
      </c>
    </row>
    <row r="37" spans="2:4">
      <c r="B37" s="76" t="s">
        <v>385</v>
      </c>
    </row>
    <row r="38" spans="2:4">
      <c r="B38" s="76" t="s">
        <v>519</v>
      </c>
    </row>
    <row r="39" spans="2:4">
      <c r="B39" s="76" t="s">
        <v>384</v>
      </c>
    </row>
    <row r="40" spans="2:4">
      <c r="B40" s="596" t="s">
        <v>520</v>
      </c>
      <c r="C40" s="58"/>
      <c r="D40"/>
    </row>
    <row r="41" spans="2:4">
      <c r="B41" s="596" t="s">
        <v>436</v>
      </c>
      <c r="C41" s="58"/>
      <c r="D41"/>
    </row>
    <row r="42" spans="2:4">
      <c r="B42" s="596" t="s">
        <v>438</v>
      </c>
      <c r="C42" s="58"/>
      <c r="D42"/>
    </row>
    <row r="43" spans="2:4">
      <c r="B43" s="596" t="s">
        <v>437</v>
      </c>
      <c r="C43" s="58"/>
      <c r="D43"/>
    </row>
    <row r="44" spans="2:4">
      <c r="B44" s="596" t="s">
        <v>521</v>
      </c>
      <c r="C44" s="58"/>
      <c r="D44"/>
    </row>
    <row r="45" spans="2:4">
      <c r="B45" s="596" t="s">
        <v>508</v>
      </c>
      <c r="C45" s="58"/>
      <c r="D45"/>
    </row>
    <row r="46" spans="2:4">
      <c r="B46" s="596" t="s">
        <v>522</v>
      </c>
      <c r="D46"/>
    </row>
  </sheetData>
  <phoneticPr fontId="4" type="noConversion"/>
  <printOptions horizontalCentered="1"/>
  <pageMargins left="0.75" right="0.75" top="1" bottom="1" header="0.5" footer="0.5"/>
  <pageSetup scale="81" orientation="portrait" r:id="rId1"/>
  <headerFooter alignWithMargins="0">
    <oddFooter>&amp;L&amp;F
&amp;A&amp;R&amp;P of &amp;N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Sheet37">
    <tabColor rgb="FFFFC000"/>
    <pageSetUpPr fitToPage="1"/>
  </sheetPr>
  <dimension ref="A1:E56"/>
  <sheetViews>
    <sheetView topLeftCell="A11" zoomScaleNormal="100" workbookViewId="0">
      <selection activeCell="A24" sqref="A24:A26"/>
    </sheetView>
  </sheetViews>
  <sheetFormatPr defaultRowHeight="12.75"/>
  <cols>
    <col min="1" max="1" width="40.7109375" customWidth="1"/>
    <col min="2" max="2" width="10.28515625" style="12" bestFit="1" customWidth="1"/>
    <col min="3" max="3" width="17" style="12" bestFit="1" customWidth="1"/>
    <col min="4" max="4" width="10.28515625" style="12" customWidth="1"/>
    <col min="5" max="5" width="10.28515625" style="12" bestFit="1" customWidth="1"/>
  </cols>
  <sheetData>
    <row r="1" spans="1:5" ht="18.75" thickBot="1">
      <c r="A1" s="826" t="s">
        <v>196</v>
      </c>
      <c r="B1" s="826"/>
      <c r="C1" s="826"/>
      <c r="D1" s="826"/>
      <c r="E1" s="826"/>
    </row>
    <row r="2" spans="1:5" ht="13.5" thickBot="1">
      <c r="A2" s="131"/>
      <c r="B2" s="827" t="s">
        <v>255</v>
      </c>
      <c r="C2" s="828"/>
      <c r="D2" s="828"/>
      <c r="E2" s="829"/>
    </row>
    <row r="3" spans="1:5" ht="13.5" thickBot="1">
      <c r="A3" s="102" t="s">
        <v>47</v>
      </c>
      <c r="B3" s="402" t="s">
        <v>189</v>
      </c>
      <c r="C3" s="403" t="s">
        <v>139</v>
      </c>
      <c r="D3" s="403" t="s">
        <v>100</v>
      </c>
      <c r="E3" s="613" t="s">
        <v>167</v>
      </c>
    </row>
    <row r="4" spans="1:5">
      <c r="A4" s="516"/>
      <c r="B4" s="5"/>
      <c r="C4" s="6"/>
      <c r="D4" s="6"/>
      <c r="E4" s="7"/>
    </row>
    <row r="5" spans="1:5">
      <c r="A5" s="145"/>
      <c r="B5" s="132"/>
      <c r="C5" s="8"/>
      <c r="D5" s="8"/>
      <c r="E5" s="9"/>
    </row>
    <row r="6" spans="1:5">
      <c r="A6" s="145" t="s">
        <v>49</v>
      </c>
      <c r="B6" s="142"/>
      <c r="C6" s="34"/>
      <c r="D6" s="34"/>
      <c r="E6" s="44"/>
    </row>
    <row r="7" spans="1:5">
      <c r="A7" s="517"/>
      <c r="B7" s="142"/>
      <c r="C7" s="34"/>
      <c r="D7" s="34"/>
      <c r="E7" s="44"/>
    </row>
    <row r="8" spans="1:5">
      <c r="A8" s="145" t="s">
        <v>53</v>
      </c>
      <c r="B8" s="143">
        <f>'Sch OL-TOU TSM'!R40</f>
        <v>12305.407077928105</v>
      </c>
      <c r="C8" s="163"/>
      <c r="D8" s="163"/>
      <c r="E8" s="49">
        <f>'Sch OL-TOU TSM'!R39</f>
        <v>12305.407077928105</v>
      </c>
    </row>
    <row r="9" spans="1:5">
      <c r="A9" s="145" t="s">
        <v>51</v>
      </c>
      <c r="B9" s="142">
        <f>'Sch OL-TOU TSM'!S40</f>
        <v>1720.2539238389252</v>
      </c>
      <c r="C9" s="34"/>
      <c r="D9" s="34"/>
      <c r="E9" s="44">
        <f>'Sch OL-TOU TSM'!S39</f>
        <v>1720.2539238389252</v>
      </c>
    </row>
    <row r="10" spans="1:5">
      <c r="A10" s="145" t="s">
        <v>52</v>
      </c>
      <c r="B10" s="142">
        <f>'Sch OL-TOU TSM'!T40</f>
        <v>664.24430492898307</v>
      </c>
      <c r="C10" s="34"/>
      <c r="D10" s="34"/>
      <c r="E10" s="44">
        <f>'Sch OL-TOU TSM'!T39</f>
        <v>664.24430492898307</v>
      </c>
    </row>
    <row r="11" spans="1:5">
      <c r="A11" s="518"/>
      <c r="B11" s="142"/>
      <c r="C11" s="34"/>
      <c r="D11" s="34"/>
      <c r="E11" s="44"/>
    </row>
    <row r="12" spans="1:5">
      <c r="A12" s="145" t="s">
        <v>35</v>
      </c>
      <c r="B12" s="142">
        <f>SUM(B8:B10)</f>
        <v>14689.905306696013</v>
      </c>
      <c r="C12" s="34"/>
      <c r="D12" s="34"/>
      <c r="E12" s="44">
        <f>SUM(E8:E10)</f>
        <v>14689.905306696013</v>
      </c>
    </row>
    <row r="13" spans="1:5">
      <c r="A13" s="518"/>
      <c r="B13" s="142"/>
      <c r="C13" s="34"/>
      <c r="D13" s="34"/>
      <c r="E13" s="44"/>
    </row>
    <row r="14" spans="1:5">
      <c r="A14" s="145" t="s">
        <v>65</v>
      </c>
      <c r="B14" s="142"/>
      <c r="C14" s="34"/>
      <c r="D14" s="34"/>
      <c r="E14" s="44"/>
    </row>
    <row r="15" spans="1:5">
      <c r="A15" s="519">
        <f>Inputs!C3</f>
        <v>2.7723662892949787E-2</v>
      </c>
      <c r="B15" s="142"/>
      <c r="C15" s="34"/>
      <c r="D15" s="34"/>
      <c r="E15" s="44"/>
    </row>
    <row r="16" spans="1:5">
      <c r="A16" s="40" t="s">
        <v>64</v>
      </c>
      <c r="B16" s="142"/>
      <c r="C16" s="34"/>
      <c r="D16" s="34"/>
      <c r="E16" s="44"/>
    </row>
    <row r="17" spans="1:5">
      <c r="A17" s="53">
        <f>Inputs!C4</f>
        <v>1.5023E-2</v>
      </c>
      <c r="B17" s="142"/>
      <c r="C17" s="34"/>
      <c r="D17" s="34"/>
      <c r="E17" s="44"/>
    </row>
    <row r="18" spans="1:5">
      <c r="A18" s="520" t="s">
        <v>111</v>
      </c>
      <c r="B18" s="142">
        <f>(B8*(1+$A$15)*(1+$A$17))</f>
        <v>12836.547276884676</v>
      </c>
      <c r="C18" s="34"/>
      <c r="D18" s="34"/>
      <c r="E18" s="44">
        <f>(E8*(1+$A$15)*(1+$A$17))</f>
        <v>12836.547276884676</v>
      </c>
    </row>
    <row r="19" spans="1:5">
      <c r="A19" s="520" t="s">
        <v>51</v>
      </c>
      <c r="B19" s="142">
        <f t="shared" ref="B19:B20" si="0">(B9*(1+$A$15)*(1+$A$17))</f>
        <v>1794.5055114196809</v>
      </c>
      <c r="C19" s="34"/>
      <c r="D19" s="34"/>
      <c r="E19" s="44">
        <f t="shared" ref="E19:E20" si="1">(E9*(1+$A$15)*(1+$A$17))</f>
        <v>1794.5055114196809</v>
      </c>
    </row>
    <row r="20" spans="1:5">
      <c r="A20" s="520" t="s">
        <v>52</v>
      </c>
      <c r="B20" s="142">
        <f t="shared" si="0"/>
        <v>692.9151851397296</v>
      </c>
      <c r="C20" s="34"/>
      <c r="D20" s="34"/>
      <c r="E20" s="44">
        <f t="shared" si="1"/>
        <v>692.9151851397296</v>
      </c>
    </row>
    <row r="21" spans="1:5">
      <c r="A21" s="145"/>
      <c r="B21" s="147"/>
      <c r="C21" s="97"/>
      <c r="D21" s="97"/>
      <c r="E21" s="99"/>
    </row>
    <row r="22" spans="1:5">
      <c r="A22" s="145" t="s">
        <v>35</v>
      </c>
      <c r="B22" s="147">
        <f>B18+B19+B20</f>
        <v>15323.967973444085</v>
      </c>
      <c r="C22" s="97"/>
      <c r="D22" s="97"/>
      <c r="E22" s="99">
        <f>E18+E19+E20</f>
        <v>15323.967973444085</v>
      </c>
    </row>
    <row r="23" spans="1:5">
      <c r="A23" s="145"/>
      <c r="B23" s="142"/>
      <c r="C23" s="34"/>
      <c r="D23" s="34"/>
      <c r="E23" s="44"/>
    </row>
    <row r="24" spans="1:5">
      <c r="A24" s="806" t="str">
        <f>'Resid TSM Sum by Rate Schedule'!A25</f>
        <v>Annualized Transformer Cost at 8.05%</v>
      </c>
      <c r="B24" s="147">
        <f>B18*Inputs!$C$5</f>
        <v>1033.0681563921005</v>
      </c>
      <c r="C24" s="97"/>
      <c r="D24" s="97"/>
      <c r="E24" s="99">
        <f>E18*Inputs!$C$5</f>
        <v>1033.0681563921005</v>
      </c>
    </row>
    <row r="25" spans="1:5">
      <c r="A25" s="806" t="str">
        <f>'Resid TSM Sum by Rate Schedule'!A26</f>
        <v>Annualized Services Cost at 7.08%</v>
      </c>
      <c r="B25" s="147">
        <f>B19*Inputs!$C$6</f>
        <v>127.00623513650113</v>
      </c>
      <c r="C25" s="97"/>
      <c r="D25" s="97"/>
      <c r="E25" s="99">
        <f>E19*Inputs!$C$6</f>
        <v>127.00623513650113</v>
      </c>
    </row>
    <row r="26" spans="1:5" ht="15">
      <c r="A26" s="806" t="str">
        <f>'Resid TSM Sum by Rate Schedule'!A27</f>
        <v>Annualized Meter Cost at 10.78%</v>
      </c>
      <c r="B26" s="628">
        <f>B20*Inputs!$C$7</f>
        <v>74.673009200774487</v>
      </c>
      <c r="C26" s="627"/>
      <c r="D26" s="627"/>
      <c r="E26" s="626">
        <f>E20*Inputs!$C$7</f>
        <v>74.673009200774487</v>
      </c>
    </row>
    <row r="27" spans="1:5">
      <c r="A27" s="621" t="s">
        <v>380</v>
      </c>
      <c r="B27" s="147">
        <f>SUM(B24:B26)</f>
        <v>1234.7474007293761</v>
      </c>
      <c r="C27" s="97"/>
      <c r="D27" s="97"/>
      <c r="E27" s="99">
        <f>SUM(E24:E26)</f>
        <v>1234.7474007293761</v>
      </c>
    </row>
    <row r="28" spans="1:5">
      <c r="A28" s="519"/>
      <c r="B28" s="142"/>
      <c r="C28" s="34"/>
      <c r="D28" s="34"/>
      <c r="E28" s="44"/>
    </row>
    <row r="29" spans="1:5">
      <c r="A29" s="145" t="s">
        <v>50</v>
      </c>
      <c r="B29" s="142">
        <f>'Distribution O&amp;M Allocations'!$Z$20</f>
        <v>150.63091388576447</v>
      </c>
      <c r="C29" s="34"/>
      <c r="D29" s="34"/>
      <c r="E29" s="44">
        <f>'Distribution O&amp;M Allocations'!$Z$20</f>
        <v>150.63091388576447</v>
      </c>
    </row>
    <row r="30" spans="1:5">
      <c r="A30" s="146"/>
      <c r="B30" s="10"/>
      <c r="C30" s="31"/>
      <c r="D30" s="31"/>
      <c r="E30" s="107"/>
    </row>
    <row r="31" spans="1:5">
      <c r="A31" s="145" t="s">
        <v>61</v>
      </c>
      <c r="B31" s="197">
        <f>'Cust Service Cost Allocations'!$AA$76</f>
        <v>447.86258547437507</v>
      </c>
      <c r="C31" s="198"/>
      <c r="D31" s="198"/>
      <c r="E31" s="382">
        <f>'Cust Service Cost Allocations'!$AA$76</f>
        <v>447.86258547437507</v>
      </c>
    </row>
    <row r="32" spans="1:5" ht="13.5" thickBot="1">
      <c r="A32" s="146"/>
      <c r="B32" s="144"/>
      <c r="C32" s="115"/>
      <c r="D32" s="115"/>
      <c r="E32" s="116"/>
    </row>
    <row r="33" spans="1:5" ht="13.5" thickBot="1">
      <c r="A33" s="521" t="s">
        <v>165</v>
      </c>
      <c r="B33" s="371">
        <f>B27+B29+B31</f>
        <v>1833.2409000895154</v>
      </c>
      <c r="C33" s="372"/>
      <c r="D33" s="372"/>
      <c r="E33" s="383">
        <f>E27+E29+E31</f>
        <v>1833.2409000895154</v>
      </c>
    </row>
    <row r="34" spans="1:5">
      <c r="B34" s="13"/>
      <c r="C34" s="13"/>
      <c r="D34" s="13"/>
      <c r="E34" s="13"/>
    </row>
    <row r="36" spans="1:5">
      <c r="A36" t="s">
        <v>3</v>
      </c>
    </row>
    <row r="44" spans="1:5">
      <c r="A44" s="19"/>
    </row>
    <row r="56" spans="1:1">
      <c r="A56" s="19"/>
    </row>
  </sheetData>
  <mergeCells count="2">
    <mergeCell ref="A1:E1"/>
    <mergeCell ref="B2:E2"/>
  </mergeCells>
  <printOptions horizontalCentered="1"/>
  <pageMargins left="0.75" right="0.75" top="1" bottom="1" header="0.5" footer="0.5"/>
  <pageSetup orientation="portrait" r:id="rId1"/>
  <headerFooter alignWithMargins="0">
    <oddFooter>&amp;L&amp;F
&amp;A&amp;R&amp;P of &amp;N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 codeName="Sheet38">
    <tabColor rgb="FFFFC000"/>
    <pageSetUpPr fitToPage="1"/>
  </sheetPr>
  <dimension ref="A1:E58"/>
  <sheetViews>
    <sheetView zoomScaleNormal="100" workbookViewId="0">
      <selection activeCell="A24" sqref="A24:A26"/>
    </sheetView>
  </sheetViews>
  <sheetFormatPr defaultRowHeight="12.75"/>
  <cols>
    <col min="1" max="1" width="40.7109375" customWidth="1"/>
    <col min="2" max="2" width="10.28515625" style="12" bestFit="1" customWidth="1"/>
    <col min="3" max="3" width="17" style="12" bestFit="1" customWidth="1"/>
    <col min="4" max="4" width="10.28515625" style="12" customWidth="1"/>
    <col min="5" max="5" width="10.28515625" style="12" bestFit="1" customWidth="1"/>
  </cols>
  <sheetData>
    <row r="1" spans="1:5" ht="18.75" thickBot="1">
      <c r="A1" s="826" t="s">
        <v>402</v>
      </c>
      <c r="B1" s="826"/>
      <c r="C1" s="826"/>
      <c r="D1" s="826"/>
      <c r="E1" s="826"/>
    </row>
    <row r="2" spans="1:5" ht="13.5" thickBot="1">
      <c r="A2" s="131"/>
      <c r="B2" s="828" t="s">
        <v>255</v>
      </c>
      <c r="C2" s="828"/>
      <c r="D2" s="828"/>
      <c r="E2" s="829"/>
    </row>
    <row r="3" spans="1:5" ht="13.5" thickBot="1">
      <c r="A3" s="102" t="s">
        <v>47</v>
      </c>
      <c r="B3" s="403" t="s">
        <v>189</v>
      </c>
      <c r="C3" s="403" t="s">
        <v>139</v>
      </c>
      <c r="D3" s="403" t="s">
        <v>100</v>
      </c>
      <c r="E3" s="613" t="s">
        <v>167</v>
      </c>
    </row>
    <row r="4" spans="1:5">
      <c r="A4" s="39"/>
      <c r="B4" s="5"/>
      <c r="C4" s="6"/>
      <c r="D4" s="6"/>
      <c r="E4" s="7"/>
    </row>
    <row r="5" spans="1:5">
      <c r="A5" s="40"/>
      <c r="B5" s="132"/>
      <c r="C5" s="8"/>
      <c r="D5" s="8"/>
      <c r="E5" s="9"/>
    </row>
    <row r="6" spans="1:5">
      <c r="A6" s="40" t="s">
        <v>49</v>
      </c>
      <c r="B6" s="142"/>
      <c r="C6" s="34"/>
      <c r="D6" s="34"/>
      <c r="E6" s="44"/>
    </row>
    <row r="7" spans="1:5">
      <c r="A7" s="41"/>
      <c r="B7" s="142"/>
      <c r="C7" s="34"/>
      <c r="D7" s="34"/>
      <c r="E7" s="44"/>
    </row>
    <row r="8" spans="1:5">
      <c r="A8" s="40" t="s">
        <v>53</v>
      </c>
      <c r="B8" s="143">
        <f>'Sch OL-TOU TSM Summary'!B8*Inputs!$C$12</f>
        <v>13353.139445641085</v>
      </c>
      <c r="C8" s="163"/>
      <c r="D8" s="163"/>
      <c r="E8" s="49">
        <f>'Sch OL-TOU TSM Summary'!E8*Inputs!$C$12</f>
        <v>13353.139445641085</v>
      </c>
    </row>
    <row r="9" spans="1:5">
      <c r="A9" s="40" t="s">
        <v>51</v>
      </c>
      <c r="B9" s="143">
        <f>'Sch OL-TOU TSM Summary'!B9*Inputs!$C$12</f>
        <v>1866.7233340158677</v>
      </c>
      <c r="C9" s="163"/>
      <c r="D9" s="163"/>
      <c r="E9" s="49">
        <f>'Sch OL-TOU TSM Summary'!E9*Inputs!$C$12</f>
        <v>1866.7233340158677</v>
      </c>
    </row>
    <row r="10" spans="1:5">
      <c r="A10" s="40" t="s">
        <v>52</v>
      </c>
      <c r="B10" s="143">
        <f>'Sch OL-TOU TSM Summary'!B10*Inputs!$C$12</f>
        <v>720.80076453537959</v>
      </c>
      <c r="C10" s="163"/>
      <c r="D10" s="163"/>
      <c r="E10" s="49">
        <f>'Sch OL-TOU TSM Summary'!E10*Inputs!$C$12</f>
        <v>720.80076453537959</v>
      </c>
    </row>
    <row r="11" spans="1:5">
      <c r="A11" s="42"/>
      <c r="B11" s="142"/>
      <c r="C11" s="34"/>
      <c r="D11" s="34"/>
      <c r="E11" s="44"/>
    </row>
    <row r="12" spans="1:5">
      <c r="A12" s="40" t="s">
        <v>35</v>
      </c>
      <c r="B12" s="142">
        <f>SUM(B8:B10)</f>
        <v>15940.663544192332</v>
      </c>
      <c r="C12" s="34"/>
      <c r="D12" s="34"/>
      <c r="E12" s="44">
        <f>SUM(E8:E10)</f>
        <v>15940.663544192332</v>
      </c>
    </row>
    <row r="13" spans="1:5">
      <c r="A13" s="42"/>
      <c r="B13" s="142"/>
      <c r="C13" s="34"/>
      <c r="D13" s="34"/>
      <c r="E13" s="44"/>
    </row>
    <row r="14" spans="1:5">
      <c r="A14" s="40" t="s">
        <v>65</v>
      </c>
      <c r="B14" s="142"/>
      <c r="C14" s="34"/>
      <c r="D14" s="34"/>
      <c r="E14" s="44"/>
    </row>
    <row r="15" spans="1:5">
      <c r="A15" s="53">
        <f>Inputs!C3</f>
        <v>2.7723662892949787E-2</v>
      </c>
      <c r="B15" s="142"/>
      <c r="C15" s="34"/>
      <c r="D15" s="34"/>
      <c r="E15" s="44"/>
    </row>
    <row r="16" spans="1:5">
      <c r="A16" s="40" t="s">
        <v>64</v>
      </c>
      <c r="B16" s="142"/>
      <c r="C16" s="34"/>
      <c r="D16" s="34"/>
      <c r="E16" s="44"/>
    </row>
    <row r="17" spans="1:5">
      <c r="A17" s="53">
        <f>Inputs!C4</f>
        <v>1.5023E-2</v>
      </c>
      <c r="B17" s="142"/>
      <c r="C17" s="34"/>
      <c r="D17" s="34"/>
      <c r="E17" s="44"/>
    </row>
    <row r="18" spans="1:5">
      <c r="A18" s="122" t="s">
        <v>111</v>
      </c>
      <c r="B18" s="142">
        <f>(B8*(1+$A$15)*(1+$A$17))</f>
        <v>13929.5030796873</v>
      </c>
      <c r="C18" s="34"/>
      <c r="D18" s="34"/>
      <c r="E18" s="44">
        <f>(E8*(1+$A$15)*(1+$A$17))</f>
        <v>13929.5030796873</v>
      </c>
    </row>
    <row r="19" spans="1:5">
      <c r="A19" s="122" t="s">
        <v>51</v>
      </c>
      <c r="B19" s="142">
        <f t="shared" ref="B19:B20" si="0">(B9*(1+$A$15)*(1+$A$17))</f>
        <v>1947.2970035212411</v>
      </c>
      <c r="C19" s="34"/>
      <c r="D19" s="34"/>
      <c r="E19" s="44">
        <f t="shared" ref="E19:E20" si="1">(E9*(1+$A$15)*(1+$A$17))</f>
        <v>1947.2970035212411</v>
      </c>
    </row>
    <row r="20" spans="1:5">
      <c r="A20" s="122" t="s">
        <v>52</v>
      </c>
      <c r="B20" s="142">
        <f t="shared" si="0"/>
        <v>751.91280000554877</v>
      </c>
      <c r="C20" s="34"/>
      <c r="D20" s="34"/>
      <c r="E20" s="44">
        <f t="shared" si="1"/>
        <v>751.91280000554877</v>
      </c>
    </row>
    <row r="21" spans="1:5">
      <c r="A21" s="40"/>
      <c r="B21" s="147"/>
      <c r="C21" s="97"/>
      <c r="D21" s="97"/>
      <c r="E21" s="99"/>
    </row>
    <row r="22" spans="1:5">
      <c r="A22" s="40" t="s">
        <v>35</v>
      </c>
      <c r="B22" s="147">
        <f>B18+B19+B20</f>
        <v>16628.712883214092</v>
      </c>
      <c r="C22" s="97"/>
      <c r="D22" s="97"/>
      <c r="E22" s="99">
        <f>E18+E19+E20</f>
        <v>16628.712883214092</v>
      </c>
    </row>
    <row r="23" spans="1:5">
      <c r="A23" s="40"/>
      <c r="B23" s="142"/>
      <c r="C23" s="34"/>
      <c r="D23" s="34"/>
      <c r="E23" s="44"/>
    </row>
    <row r="24" spans="1:5">
      <c r="A24" s="805" t="str">
        <f>'Resid TSM Sum by Rate Schedule'!A25</f>
        <v>Annualized Transformer Cost at 8.05%</v>
      </c>
      <c r="B24" s="147">
        <f>B18*Inputs!$C$5</f>
        <v>1121.0277776099158</v>
      </c>
      <c r="C24" s="97"/>
      <c r="D24" s="97"/>
      <c r="E24" s="99">
        <f>E18*Inputs!$C$5</f>
        <v>1121.0277776099158</v>
      </c>
    </row>
    <row r="25" spans="1:5">
      <c r="A25" s="805" t="str">
        <f>'Resid TSM Sum by Rate Schedule'!A26</f>
        <v>Annualized Services Cost at 7.08%</v>
      </c>
      <c r="B25" s="147">
        <f>B19*Inputs!$C$6</f>
        <v>137.82006214857614</v>
      </c>
      <c r="C25" s="97"/>
      <c r="D25" s="97"/>
      <c r="E25" s="99">
        <f>E19*Inputs!$C$6</f>
        <v>137.82006214857614</v>
      </c>
    </row>
    <row r="26" spans="1:5" ht="15">
      <c r="A26" s="805" t="str">
        <f>'Resid TSM Sum by Rate Schedule'!A27</f>
        <v>Annualized Meter Cost at 10.78%</v>
      </c>
      <c r="B26" s="628">
        <f>B20*Inputs!$C$7</f>
        <v>81.030972674775512</v>
      </c>
      <c r="C26" s="627"/>
      <c r="D26" s="627"/>
      <c r="E26" s="626">
        <f>E20*Inputs!$C$7</f>
        <v>81.030972674775512</v>
      </c>
    </row>
    <row r="27" spans="1:5">
      <c r="A27" s="114" t="s">
        <v>380</v>
      </c>
      <c r="B27" s="147">
        <f>SUM(B24:B26)</f>
        <v>1339.8788124332675</v>
      </c>
      <c r="C27" s="97"/>
      <c r="D27" s="97"/>
      <c r="E27" s="99">
        <f>SUM(E24:E26)</f>
        <v>1339.8788124332675</v>
      </c>
    </row>
    <row r="28" spans="1:5">
      <c r="A28" s="53"/>
      <c r="B28" s="142"/>
      <c r="C28" s="34"/>
      <c r="D28" s="34"/>
      <c r="E28" s="44"/>
    </row>
    <row r="29" spans="1:5">
      <c r="A29" s="40" t="s">
        <v>50</v>
      </c>
      <c r="B29" s="142">
        <f>'Sch OL-TOU TSM Summary'!B$29*Inputs!$C$13</f>
        <v>158.69685795380624</v>
      </c>
      <c r="C29" s="34"/>
      <c r="D29" s="34"/>
      <c r="E29" s="44">
        <f>'Sch OL-TOU TSM Summary'!E$29*Inputs!$C$13</f>
        <v>158.69685795380624</v>
      </c>
    </row>
    <row r="30" spans="1:5" ht="15">
      <c r="A30" s="40" t="s">
        <v>453</v>
      </c>
      <c r="B30" s="730">
        <f>-Inputs!$C$18</f>
        <v>-3.0284021924274875</v>
      </c>
      <c r="C30" s="34"/>
      <c r="D30" s="34"/>
      <c r="E30" s="731">
        <f>-Inputs!$C$18</f>
        <v>-3.0284021924274875</v>
      </c>
    </row>
    <row r="31" spans="1:5">
      <c r="A31" s="40" t="s">
        <v>451</v>
      </c>
      <c r="B31" s="142">
        <f>B29+B30</f>
        <v>155.66845576137877</v>
      </c>
      <c r="C31" s="34"/>
      <c r="D31" s="34"/>
      <c r="E31" s="44">
        <f>E29+E30</f>
        <v>155.66845576137877</v>
      </c>
    </row>
    <row r="32" spans="1:5">
      <c r="A32" s="11"/>
      <c r="B32" s="10"/>
      <c r="C32" s="31"/>
      <c r="D32" s="31"/>
      <c r="E32" s="107"/>
    </row>
    <row r="33" spans="1:5">
      <c r="A33" s="40" t="s">
        <v>61</v>
      </c>
      <c r="B33" s="197">
        <f>'Sch OL-TOU TSM Summary'!B31*Inputs!$C$14</f>
        <v>481.55031066335573</v>
      </c>
      <c r="C33" s="198"/>
      <c r="D33" s="198"/>
      <c r="E33" s="382">
        <f>'Cust Service Cost Allocations'!$AA$76*Inputs!$C$14</f>
        <v>481.55031066335573</v>
      </c>
    </row>
    <row r="34" spans="1:5" ht="13.5" thickBot="1">
      <c r="A34" s="11"/>
      <c r="B34" s="144"/>
      <c r="C34" s="115"/>
      <c r="D34" s="115"/>
      <c r="E34" s="116"/>
    </row>
    <row r="35" spans="1:5" ht="13.5" thickBot="1">
      <c r="A35" s="521" t="s">
        <v>165</v>
      </c>
      <c r="B35" s="372">
        <f>B27+B31+B33</f>
        <v>1977.097578858002</v>
      </c>
      <c r="C35" s="372"/>
      <c r="D35" s="372"/>
      <c r="E35" s="383">
        <f>E27+E31+E33</f>
        <v>1977.097578858002</v>
      </c>
    </row>
    <row r="36" spans="1:5">
      <c r="B36" s="13"/>
      <c r="C36" s="13"/>
      <c r="D36" s="13"/>
      <c r="E36" s="13"/>
    </row>
    <row r="38" spans="1:5">
      <c r="A38" t="s">
        <v>3</v>
      </c>
    </row>
    <row r="46" spans="1:5">
      <c r="A46" s="19"/>
    </row>
    <row r="58" spans="1:1">
      <c r="A58" s="19"/>
    </row>
  </sheetData>
  <mergeCells count="2">
    <mergeCell ref="A1:E1"/>
    <mergeCell ref="B2:E2"/>
  </mergeCells>
  <printOptions horizontalCentered="1"/>
  <pageMargins left="0.75" right="0.75" top="1" bottom="1" header="0.5" footer="0.5"/>
  <pageSetup orientation="portrait" r:id="rId1"/>
  <headerFooter alignWithMargins="0">
    <oddFooter>&amp;L&amp;F
&amp;A&amp;R&amp;P of &amp;N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 codeName="Sheet39">
    <tabColor rgb="FFFFC000"/>
    <pageSetUpPr fitToPage="1"/>
  </sheetPr>
  <dimension ref="A1:N227"/>
  <sheetViews>
    <sheetView zoomScaleNormal="100" workbookViewId="0">
      <pane ySplit="3" topLeftCell="A9" activePane="bottomLeft" state="frozen"/>
      <selection activeCell="D15" sqref="D15"/>
      <selection pane="bottomLeft" activeCell="H38" sqref="H38"/>
    </sheetView>
  </sheetViews>
  <sheetFormatPr defaultRowHeight="12.75"/>
  <cols>
    <col min="1" max="1" width="25" bestFit="1" customWidth="1"/>
    <col min="2" max="2" width="16.140625" bestFit="1" customWidth="1"/>
    <col min="3" max="3" width="15.5703125" bestFit="1" customWidth="1"/>
    <col min="4" max="4" width="11.28515625" bestFit="1" customWidth="1"/>
    <col min="5" max="5" width="10.28515625" bestFit="1" customWidth="1"/>
    <col min="6" max="6" width="9.5703125" customWidth="1"/>
    <col min="7" max="7" width="8.7109375" bestFit="1" customWidth="1"/>
    <col min="8" max="8" width="13" bestFit="1" customWidth="1"/>
    <col min="9" max="9" width="12" customWidth="1"/>
    <col min="10" max="10" width="13.140625" customWidth="1"/>
    <col min="11" max="11" width="12.42578125" bestFit="1" customWidth="1"/>
  </cols>
  <sheetData>
    <row r="1" spans="1:9" ht="18.75" thickBot="1">
      <c r="A1" s="841" t="s">
        <v>140</v>
      </c>
      <c r="B1" s="841"/>
      <c r="C1" s="841"/>
      <c r="D1" s="841"/>
      <c r="E1" s="841"/>
      <c r="F1" s="841"/>
      <c r="G1" s="841"/>
      <c r="H1" s="841"/>
      <c r="I1" s="841"/>
    </row>
    <row r="2" spans="1:9" ht="13.5" thickBot="1">
      <c r="A2" s="131"/>
      <c r="B2" s="827" t="s">
        <v>0</v>
      </c>
      <c r="C2" s="828"/>
      <c r="D2" s="828"/>
      <c r="E2" s="828"/>
      <c r="F2" s="829"/>
      <c r="G2" s="659"/>
      <c r="H2" s="131"/>
      <c r="I2" s="131"/>
    </row>
    <row r="3" spans="1:9" ht="13.5" thickBot="1">
      <c r="A3" s="102" t="s">
        <v>4</v>
      </c>
      <c r="B3" s="98" t="s">
        <v>136</v>
      </c>
      <c r="C3" s="28" t="s">
        <v>114</v>
      </c>
      <c r="D3" s="28" t="s">
        <v>33</v>
      </c>
      <c r="E3" s="28" t="s">
        <v>34</v>
      </c>
      <c r="F3" s="313" t="s">
        <v>270</v>
      </c>
      <c r="G3" s="660" t="s">
        <v>1</v>
      </c>
      <c r="H3" s="102" t="s">
        <v>99</v>
      </c>
      <c r="I3" s="102" t="s">
        <v>2</v>
      </c>
    </row>
    <row r="4" spans="1:9">
      <c r="A4" s="133"/>
      <c r="B4" s="5" t="s">
        <v>45</v>
      </c>
      <c r="C4" s="6" t="s">
        <v>45</v>
      </c>
      <c r="D4" s="6" t="s">
        <v>45</v>
      </c>
      <c r="E4" s="6" t="s">
        <v>45</v>
      </c>
      <c r="F4" s="7" t="s">
        <v>45</v>
      </c>
      <c r="G4" s="5" t="s">
        <v>45</v>
      </c>
      <c r="H4" s="133" t="s">
        <v>45</v>
      </c>
      <c r="I4" s="133" t="s">
        <v>45</v>
      </c>
    </row>
    <row r="5" spans="1:9">
      <c r="A5" s="134"/>
      <c r="B5" s="132"/>
      <c r="C5" s="8"/>
      <c r="D5" s="8"/>
      <c r="E5" s="8"/>
      <c r="F5" s="9"/>
      <c r="G5" s="132"/>
      <c r="H5" s="134"/>
      <c r="I5" s="134"/>
    </row>
    <row r="6" spans="1:9">
      <c r="A6" s="21" t="s">
        <v>5</v>
      </c>
      <c r="B6" s="602">
        <v>19</v>
      </c>
      <c r="C6" s="603">
        <v>3</v>
      </c>
      <c r="D6" s="603">
        <v>37</v>
      </c>
      <c r="E6" s="603">
        <v>20</v>
      </c>
      <c r="F6" s="252">
        <f>SUM(B6:E6)</f>
        <v>79</v>
      </c>
      <c r="G6" s="602">
        <v>3</v>
      </c>
      <c r="H6" s="602">
        <v>0</v>
      </c>
      <c r="I6" s="291">
        <f t="shared" ref="I6:I35" si="0">F6+G6+H6</f>
        <v>82</v>
      </c>
    </row>
    <row r="7" spans="1:9">
      <c r="A7" s="20" t="s">
        <v>6</v>
      </c>
      <c r="B7" s="602">
        <v>88</v>
      </c>
      <c r="C7" s="603">
        <v>4</v>
      </c>
      <c r="D7" s="603">
        <v>55</v>
      </c>
      <c r="E7" s="603">
        <v>38</v>
      </c>
      <c r="F7" s="252">
        <f t="shared" ref="F7:F33" si="1">SUM(B7:E7)</f>
        <v>185</v>
      </c>
      <c r="G7" s="602">
        <v>2</v>
      </c>
      <c r="H7" s="602">
        <v>0</v>
      </c>
      <c r="I7" s="291">
        <f t="shared" si="0"/>
        <v>187</v>
      </c>
    </row>
    <row r="8" spans="1:9">
      <c r="A8" s="22" t="s">
        <v>7</v>
      </c>
      <c r="B8" s="602">
        <v>197</v>
      </c>
      <c r="C8" s="603">
        <v>14</v>
      </c>
      <c r="D8" s="603">
        <v>134</v>
      </c>
      <c r="E8" s="603">
        <v>84</v>
      </c>
      <c r="F8" s="252">
        <f t="shared" si="1"/>
        <v>429</v>
      </c>
      <c r="G8" s="602">
        <v>3</v>
      </c>
      <c r="H8" s="602">
        <v>0</v>
      </c>
      <c r="I8" s="291">
        <f t="shared" si="0"/>
        <v>432</v>
      </c>
    </row>
    <row r="9" spans="1:9">
      <c r="A9" s="22" t="s">
        <v>124</v>
      </c>
      <c r="B9" s="602">
        <v>187</v>
      </c>
      <c r="C9" s="603">
        <v>33</v>
      </c>
      <c r="D9" s="603">
        <v>312</v>
      </c>
      <c r="E9" s="603">
        <v>115</v>
      </c>
      <c r="F9" s="252">
        <f t="shared" si="1"/>
        <v>647</v>
      </c>
      <c r="G9" s="602">
        <v>1</v>
      </c>
      <c r="H9" s="602">
        <v>0</v>
      </c>
      <c r="I9" s="291">
        <f t="shared" si="0"/>
        <v>648</v>
      </c>
    </row>
    <row r="10" spans="1:9">
      <c r="A10" s="22" t="s">
        <v>116</v>
      </c>
      <c r="B10" s="602">
        <v>224</v>
      </c>
      <c r="C10" s="603">
        <v>84</v>
      </c>
      <c r="D10" s="603">
        <v>708</v>
      </c>
      <c r="E10" s="603">
        <v>178</v>
      </c>
      <c r="F10" s="252">
        <f t="shared" si="1"/>
        <v>1194</v>
      </c>
      <c r="G10" s="602">
        <v>3</v>
      </c>
      <c r="H10" s="602">
        <v>0</v>
      </c>
      <c r="I10" s="291">
        <f t="shared" si="0"/>
        <v>1197</v>
      </c>
    </row>
    <row r="11" spans="1:9">
      <c r="A11" s="22" t="s">
        <v>8</v>
      </c>
      <c r="B11" s="602">
        <v>557</v>
      </c>
      <c r="C11" s="603">
        <v>547</v>
      </c>
      <c r="D11" s="603">
        <v>3958</v>
      </c>
      <c r="E11" s="603">
        <v>1179</v>
      </c>
      <c r="F11" s="252">
        <f t="shared" si="1"/>
        <v>6241</v>
      </c>
      <c r="G11" s="602">
        <v>7</v>
      </c>
      <c r="H11" s="602">
        <v>0</v>
      </c>
      <c r="I11" s="291">
        <f t="shared" si="0"/>
        <v>6248</v>
      </c>
    </row>
    <row r="12" spans="1:9">
      <c r="A12" s="22" t="s">
        <v>9</v>
      </c>
      <c r="B12" s="602">
        <v>78</v>
      </c>
      <c r="C12" s="603">
        <v>161</v>
      </c>
      <c r="D12" s="603">
        <v>1855</v>
      </c>
      <c r="E12" s="603">
        <v>774</v>
      </c>
      <c r="F12" s="252">
        <f t="shared" si="1"/>
        <v>2868</v>
      </c>
      <c r="G12" s="602">
        <v>8</v>
      </c>
      <c r="H12" s="602">
        <v>0</v>
      </c>
      <c r="I12" s="291">
        <f t="shared" si="0"/>
        <v>2876</v>
      </c>
    </row>
    <row r="13" spans="1:9">
      <c r="A13" s="22" t="s">
        <v>10</v>
      </c>
      <c r="B13" s="602">
        <v>21</v>
      </c>
      <c r="C13" s="603">
        <v>45</v>
      </c>
      <c r="D13" s="603">
        <v>908</v>
      </c>
      <c r="E13" s="603">
        <v>579</v>
      </c>
      <c r="F13" s="252">
        <f t="shared" si="1"/>
        <v>1553</v>
      </c>
      <c r="G13" s="602">
        <v>5</v>
      </c>
      <c r="H13" s="602">
        <v>1</v>
      </c>
      <c r="I13" s="291">
        <f t="shared" si="0"/>
        <v>1559</v>
      </c>
    </row>
    <row r="14" spans="1:9">
      <c r="A14" s="22" t="s">
        <v>11</v>
      </c>
      <c r="B14" s="602">
        <v>2</v>
      </c>
      <c r="C14" s="603">
        <v>24</v>
      </c>
      <c r="D14" s="603">
        <v>799</v>
      </c>
      <c r="E14" s="603">
        <v>755</v>
      </c>
      <c r="F14" s="252">
        <f t="shared" si="1"/>
        <v>1580</v>
      </c>
      <c r="G14" s="602">
        <v>19</v>
      </c>
      <c r="H14" s="602">
        <v>4</v>
      </c>
      <c r="I14" s="291">
        <f t="shared" si="0"/>
        <v>1603</v>
      </c>
    </row>
    <row r="15" spans="1:9">
      <c r="A15" s="22" t="s">
        <v>120</v>
      </c>
      <c r="B15" s="602"/>
      <c r="C15" s="603">
        <v>9</v>
      </c>
      <c r="D15" s="603">
        <v>293</v>
      </c>
      <c r="E15" s="603">
        <v>516</v>
      </c>
      <c r="F15" s="252">
        <f t="shared" si="1"/>
        <v>818</v>
      </c>
      <c r="G15" s="602">
        <v>23</v>
      </c>
      <c r="H15" s="602">
        <v>0</v>
      </c>
      <c r="I15" s="291">
        <f t="shared" si="0"/>
        <v>841</v>
      </c>
    </row>
    <row r="16" spans="1:9">
      <c r="A16" s="22" t="s">
        <v>121</v>
      </c>
      <c r="B16" s="602"/>
      <c r="C16" s="603">
        <v>2</v>
      </c>
      <c r="D16" s="603">
        <v>115</v>
      </c>
      <c r="E16" s="603">
        <v>333</v>
      </c>
      <c r="F16" s="252">
        <f t="shared" si="1"/>
        <v>450</v>
      </c>
      <c r="G16" s="602">
        <v>17</v>
      </c>
      <c r="H16" s="602">
        <v>1</v>
      </c>
      <c r="I16" s="291">
        <f t="shared" si="0"/>
        <v>468</v>
      </c>
    </row>
    <row r="17" spans="1:9">
      <c r="A17" s="22" t="s">
        <v>12</v>
      </c>
      <c r="B17" s="602"/>
      <c r="C17" s="603">
        <v>3</v>
      </c>
      <c r="D17" s="603">
        <v>102</v>
      </c>
      <c r="E17" s="603">
        <v>432</v>
      </c>
      <c r="F17" s="252">
        <f t="shared" si="1"/>
        <v>537</v>
      </c>
      <c r="G17" s="602">
        <v>27</v>
      </c>
      <c r="H17" s="602">
        <v>0</v>
      </c>
      <c r="I17" s="291">
        <f t="shared" si="0"/>
        <v>564</v>
      </c>
    </row>
    <row r="18" spans="1:9">
      <c r="A18" s="22" t="s">
        <v>13</v>
      </c>
      <c r="B18" s="602"/>
      <c r="C18" s="603">
        <v>0</v>
      </c>
      <c r="D18" s="603">
        <v>25</v>
      </c>
      <c r="E18" s="603">
        <v>269</v>
      </c>
      <c r="F18" s="252">
        <f t="shared" si="1"/>
        <v>294</v>
      </c>
      <c r="G18" s="602">
        <v>27</v>
      </c>
      <c r="H18" s="602">
        <v>0</v>
      </c>
      <c r="I18" s="291">
        <f t="shared" si="0"/>
        <v>321</v>
      </c>
    </row>
    <row r="19" spans="1:9">
      <c r="A19" s="22" t="s">
        <v>122</v>
      </c>
      <c r="B19" s="602"/>
      <c r="C19" s="603">
        <v>0</v>
      </c>
      <c r="D19" s="603">
        <v>1</v>
      </c>
      <c r="E19" s="603">
        <v>98</v>
      </c>
      <c r="F19" s="252">
        <f t="shared" si="1"/>
        <v>99</v>
      </c>
      <c r="G19" s="602">
        <v>13</v>
      </c>
      <c r="H19" s="602">
        <v>1</v>
      </c>
      <c r="I19" s="291">
        <f t="shared" si="0"/>
        <v>113</v>
      </c>
    </row>
    <row r="20" spans="1:9" s="58" customFormat="1">
      <c r="A20" s="22" t="s">
        <v>123</v>
      </c>
      <c r="B20" s="602"/>
      <c r="C20" s="603">
        <v>0</v>
      </c>
      <c r="D20" s="603">
        <v>1</v>
      </c>
      <c r="E20" s="603">
        <v>72</v>
      </c>
      <c r="F20" s="252">
        <f t="shared" si="1"/>
        <v>73</v>
      </c>
      <c r="G20" s="602">
        <v>10</v>
      </c>
      <c r="H20" s="602">
        <v>2</v>
      </c>
      <c r="I20" s="291">
        <f t="shared" si="0"/>
        <v>85</v>
      </c>
    </row>
    <row r="21" spans="1:9">
      <c r="A21" s="22" t="s">
        <v>14</v>
      </c>
      <c r="B21" s="602"/>
      <c r="C21" s="603">
        <v>0</v>
      </c>
      <c r="D21" s="603">
        <v>5</v>
      </c>
      <c r="E21" s="603">
        <v>111</v>
      </c>
      <c r="F21" s="252">
        <f t="shared" si="1"/>
        <v>116</v>
      </c>
      <c r="G21" s="602">
        <v>24</v>
      </c>
      <c r="H21" s="602">
        <v>1</v>
      </c>
      <c r="I21" s="291">
        <f t="shared" si="0"/>
        <v>141</v>
      </c>
    </row>
    <row r="22" spans="1:9">
      <c r="A22" s="22" t="s">
        <v>15</v>
      </c>
      <c r="B22" s="602"/>
      <c r="C22" s="603">
        <v>0</v>
      </c>
      <c r="D22" s="603">
        <v>0</v>
      </c>
      <c r="E22" s="603">
        <v>83</v>
      </c>
      <c r="F22" s="252">
        <f t="shared" si="1"/>
        <v>83</v>
      </c>
      <c r="G22" s="602">
        <v>15</v>
      </c>
      <c r="H22" s="602">
        <v>1</v>
      </c>
      <c r="I22" s="291">
        <f t="shared" si="0"/>
        <v>99</v>
      </c>
    </row>
    <row r="23" spans="1:9">
      <c r="A23" s="21" t="s">
        <v>16</v>
      </c>
      <c r="B23" s="602"/>
      <c r="C23" s="603">
        <v>0</v>
      </c>
      <c r="D23" s="603">
        <v>3</v>
      </c>
      <c r="E23" s="603">
        <v>67</v>
      </c>
      <c r="F23" s="252">
        <f t="shared" si="1"/>
        <v>70</v>
      </c>
      <c r="G23" s="602">
        <v>10</v>
      </c>
      <c r="H23" s="602">
        <v>0</v>
      </c>
      <c r="I23" s="291">
        <f t="shared" si="0"/>
        <v>80</v>
      </c>
    </row>
    <row r="24" spans="1:9">
      <c r="A24" s="22" t="s">
        <v>17</v>
      </c>
      <c r="B24" s="602"/>
      <c r="C24" s="603">
        <v>0</v>
      </c>
      <c r="D24" s="603">
        <v>0</v>
      </c>
      <c r="E24" s="603">
        <v>55</v>
      </c>
      <c r="F24" s="252">
        <f t="shared" si="1"/>
        <v>55</v>
      </c>
      <c r="G24" s="602">
        <v>18</v>
      </c>
      <c r="H24" s="602">
        <v>0</v>
      </c>
      <c r="I24" s="291">
        <f t="shared" si="0"/>
        <v>73</v>
      </c>
    </row>
    <row r="25" spans="1:9">
      <c r="A25" s="22" t="s">
        <v>18</v>
      </c>
      <c r="B25" s="602"/>
      <c r="C25" s="603">
        <v>0</v>
      </c>
      <c r="D25" s="603">
        <v>1</v>
      </c>
      <c r="E25" s="603">
        <v>28</v>
      </c>
      <c r="F25" s="252">
        <f t="shared" si="1"/>
        <v>29</v>
      </c>
      <c r="G25" s="602">
        <v>11</v>
      </c>
      <c r="H25" s="602">
        <v>0</v>
      </c>
      <c r="I25" s="291">
        <f t="shared" si="0"/>
        <v>40</v>
      </c>
    </row>
    <row r="26" spans="1:9">
      <c r="A26" s="22" t="s">
        <v>19</v>
      </c>
      <c r="B26" s="602"/>
      <c r="C26" s="603">
        <v>0</v>
      </c>
      <c r="D26" s="603"/>
      <c r="E26" s="603">
        <v>25</v>
      </c>
      <c r="F26" s="252">
        <f t="shared" si="1"/>
        <v>25</v>
      </c>
      <c r="G26" s="602">
        <v>9</v>
      </c>
      <c r="H26" s="602">
        <v>1</v>
      </c>
      <c r="I26" s="291">
        <f t="shared" si="0"/>
        <v>35</v>
      </c>
    </row>
    <row r="27" spans="1:9">
      <c r="A27" s="22" t="s">
        <v>20</v>
      </c>
      <c r="B27" s="602"/>
      <c r="C27" s="603">
        <v>1</v>
      </c>
      <c r="D27" s="603"/>
      <c r="E27" s="603">
        <v>4</v>
      </c>
      <c r="F27" s="252">
        <f t="shared" si="1"/>
        <v>5</v>
      </c>
      <c r="G27" s="602">
        <v>20</v>
      </c>
      <c r="H27" s="602">
        <v>0</v>
      </c>
      <c r="I27" s="291">
        <f t="shared" si="0"/>
        <v>25</v>
      </c>
    </row>
    <row r="28" spans="1:9">
      <c r="A28" s="22" t="s">
        <v>21</v>
      </c>
      <c r="B28" s="602"/>
      <c r="C28" s="603"/>
      <c r="D28" s="603"/>
      <c r="E28" s="603">
        <v>7</v>
      </c>
      <c r="F28" s="252">
        <f t="shared" si="1"/>
        <v>7</v>
      </c>
      <c r="G28" s="602">
        <v>13</v>
      </c>
      <c r="H28" s="602">
        <v>0</v>
      </c>
      <c r="I28" s="291">
        <f t="shared" si="0"/>
        <v>20</v>
      </c>
    </row>
    <row r="29" spans="1:9">
      <c r="A29" s="22" t="s">
        <v>22</v>
      </c>
      <c r="B29" s="602"/>
      <c r="C29" s="603"/>
      <c r="D29" s="603"/>
      <c r="E29" s="603">
        <v>2</v>
      </c>
      <c r="F29" s="252">
        <f t="shared" si="1"/>
        <v>2</v>
      </c>
      <c r="G29" s="602">
        <v>10</v>
      </c>
      <c r="H29" s="602">
        <v>0</v>
      </c>
      <c r="I29" s="291">
        <f t="shared" si="0"/>
        <v>12</v>
      </c>
    </row>
    <row r="30" spans="1:9">
      <c r="A30" s="22" t="s">
        <v>23</v>
      </c>
      <c r="B30" s="602"/>
      <c r="C30" s="603"/>
      <c r="D30" s="603"/>
      <c r="E30" s="603">
        <v>3</v>
      </c>
      <c r="F30" s="252">
        <f t="shared" si="1"/>
        <v>3</v>
      </c>
      <c r="G30" s="602">
        <v>17</v>
      </c>
      <c r="H30" s="602">
        <v>1</v>
      </c>
      <c r="I30" s="291">
        <f t="shared" si="0"/>
        <v>21</v>
      </c>
    </row>
    <row r="31" spans="1:9">
      <c r="A31" s="22" t="s">
        <v>24</v>
      </c>
      <c r="B31" s="602"/>
      <c r="C31" s="603"/>
      <c r="D31" s="603"/>
      <c r="E31" s="603">
        <v>2</v>
      </c>
      <c r="F31" s="252">
        <f t="shared" si="1"/>
        <v>2</v>
      </c>
      <c r="G31" s="602">
        <v>2</v>
      </c>
      <c r="H31" s="602">
        <v>1</v>
      </c>
      <c r="I31" s="291">
        <f t="shared" si="0"/>
        <v>5</v>
      </c>
    </row>
    <row r="32" spans="1:9">
      <c r="A32" s="21" t="s">
        <v>25</v>
      </c>
      <c r="B32" s="602"/>
      <c r="C32" s="603"/>
      <c r="D32" s="603"/>
      <c r="E32" s="603">
        <v>2</v>
      </c>
      <c r="F32" s="252">
        <f t="shared" si="1"/>
        <v>2</v>
      </c>
      <c r="G32" s="602">
        <v>9</v>
      </c>
      <c r="H32" s="602">
        <v>0</v>
      </c>
      <c r="I32" s="291">
        <f t="shared" si="0"/>
        <v>11</v>
      </c>
    </row>
    <row r="33" spans="1:14">
      <c r="A33" s="21" t="s">
        <v>125</v>
      </c>
      <c r="B33" s="602"/>
      <c r="C33" s="603"/>
      <c r="D33" s="603"/>
      <c r="E33" s="603">
        <v>2</v>
      </c>
      <c r="F33" s="252">
        <f t="shared" si="1"/>
        <v>2</v>
      </c>
      <c r="G33" s="602">
        <v>19</v>
      </c>
      <c r="H33" s="602">
        <v>3</v>
      </c>
      <c r="I33" s="291">
        <f t="shared" si="0"/>
        <v>24</v>
      </c>
    </row>
    <row r="34" spans="1:14">
      <c r="A34" s="21" t="s">
        <v>126</v>
      </c>
      <c r="B34" s="602"/>
      <c r="C34" s="603"/>
      <c r="D34" s="603"/>
      <c r="E34" s="603"/>
      <c r="F34" s="252"/>
      <c r="G34" s="602">
        <v>1</v>
      </c>
      <c r="H34" s="602">
        <v>0</v>
      </c>
      <c r="I34" s="291">
        <f t="shared" si="0"/>
        <v>1</v>
      </c>
    </row>
    <row r="35" spans="1:14">
      <c r="A35" s="21" t="s">
        <v>26</v>
      </c>
      <c r="B35" s="602"/>
      <c r="C35" s="603"/>
      <c r="D35" s="603"/>
      <c r="E35" s="603"/>
      <c r="F35" s="252"/>
      <c r="G35" s="602">
        <v>2</v>
      </c>
      <c r="H35" s="602">
        <v>1</v>
      </c>
      <c r="I35" s="291">
        <f t="shared" si="0"/>
        <v>3</v>
      </c>
    </row>
    <row r="36" spans="1:14">
      <c r="A36" s="21" t="s">
        <v>27</v>
      </c>
      <c r="B36" s="602"/>
      <c r="C36" s="603"/>
      <c r="D36" s="603"/>
      <c r="E36" s="603"/>
      <c r="F36" s="252"/>
      <c r="G36" s="602"/>
      <c r="H36" s="602"/>
      <c r="I36" s="291"/>
    </row>
    <row r="37" spans="1:14" ht="13.5" thickBot="1">
      <c r="A37" s="153"/>
      <c r="B37" s="277"/>
      <c r="C37" s="278"/>
      <c r="D37" s="278"/>
      <c r="E37" s="278"/>
      <c r="F37" s="282"/>
      <c r="G37" s="663"/>
      <c r="H37" s="333"/>
      <c r="I37" s="306"/>
    </row>
    <row r="38" spans="1:14" ht="13.5" thickBot="1">
      <c r="A38" s="245" t="s">
        <v>2</v>
      </c>
      <c r="B38" s="498">
        <f t="shared" ref="B38:I38" si="2">SUM(B6:B37)</f>
        <v>1373</v>
      </c>
      <c r="C38" s="489">
        <f t="shared" si="2"/>
        <v>930</v>
      </c>
      <c r="D38" s="489">
        <f t="shared" si="2"/>
        <v>9312</v>
      </c>
      <c r="E38" s="489">
        <f t="shared" si="2"/>
        <v>5833</v>
      </c>
      <c r="F38" s="499">
        <f t="shared" si="2"/>
        <v>17448</v>
      </c>
      <c r="G38" s="488">
        <f t="shared" si="2"/>
        <v>348</v>
      </c>
      <c r="H38" s="489">
        <f t="shared" si="2"/>
        <v>18</v>
      </c>
      <c r="I38" s="488">
        <f t="shared" si="2"/>
        <v>17814</v>
      </c>
      <c r="K38" s="728"/>
      <c r="L38" s="728"/>
      <c r="M38" s="728"/>
      <c r="N38" s="728"/>
    </row>
    <row r="39" spans="1:14">
      <c r="A39" s="21" t="s">
        <v>185</v>
      </c>
      <c r="B39" s="530">
        <f t="shared" ref="B39:I39" si="3">SUM(B6:B19)</f>
        <v>1373</v>
      </c>
      <c r="C39" s="531">
        <f t="shared" si="3"/>
        <v>929</v>
      </c>
      <c r="D39" s="531">
        <f t="shared" si="3"/>
        <v>9302</v>
      </c>
      <c r="E39" s="531">
        <f t="shared" si="3"/>
        <v>5370</v>
      </c>
      <c r="F39" s="532">
        <f>SUM(F6:F19)</f>
        <v>16974</v>
      </c>
      <c r="G39" s="491">
        <f t="shared" si="3"/>
        <v>158</v>
      </c>
      <c r="H39" s="490">
        <f t="shared" si="3"/>
        <v>7</v>
      </c>
      <c r="I39" s="493">
        <f t="shared" si="3"/>
        <v>17139</v>
      </c>
      <c r="K39" s="728"/>
      <c r="L39" s="728"/>
      <c r="N39" s="728"/>
    </row>
    <row r="40" spans="1:14">
      <c r="A40" s="153" t="s">
        <v>139</v>
      </c>
      <c r="B40" s="490">
        <f t="shared" ref="B40:I40" si="4">SUM(B20:B33)</f>
        <v>0</v>
      </c>
      <c r="C40" s="491">
        <f t="shared" si="4"/>
        <v>1</v>
      </c>
      <c r="D40" s="491">
        <f t="shared" si="4"/>
        <v>10</v>
      </c>
      <c r="E40" s="491">
        <f t="shared" si="4"/>
        <v>463</v>
      </c>
      <c r="F40" s="492">
        <f t="shared" si="4"/>
        <v>474</v>
      </c>
      <c r="G40" s="491">
        <f t="shared" si="4"/>
        <v>187</v>
      </c>
      <c r="H40" s="493">
        <f t="shared" si="4"/>
        <v>10</v>
      </c>
      <c r="I40" s="493">
        <f t="shared" si="4"/>
        <v>671</v>
      </c>
      <c r="K40" s="728"/>
      <c r="L40" s="728"/>
      <c r="N40" s="728"/>
    </row>
    <row r="41" spans="1:14" ht="13.5" thickBot="1">
      <c r="A41" s="243" t="s">
        <v>100</v>
      </c>
      <c r="B41" s="494">
        <f t="shared" ref="B41:I41" si="5">SUM(B34:B36)</f>
        <v>0</v>
      </c>
      <c r="C41" s="495">
        <f t="shared" si="5"/>
        <v>0</v>
      </c>
      <c r="D41" s="495">
        <f t="shared" si="5"/>
        <v>0</v>
      </c>
      <c r="E41" s="495">
        <f t="shared" si="5"/>
        <v>0</v>
      </c>
      <c r="F41" s="496">
        <f t="shared" si="5"/>
        <v>0</v>
      </c>
      <c r="G41" s="495">
        <f t="shared" si="5"/>
        <v>3</v>
      </c>
      <c r="H41" s="497">
        <f t="shared" si="5"/>
        <v>1</v>
      </c>
      <c r="I41" s="497">
        <f t="shared" si="5"/>
        <v>4</v>
      </c>
      <c r="K41" s="728"/>
      <c r="L41" s="728"/>
      <c r="N41" s="728"/>
    </row>
    <row r="42" spans="1:14">
      <c r="A42" s="149"/>
      <c r="B42" s="320"/>
      <c r="C42" s="320"/>
      <c r="D42" s="320"/>
      <c r="E42" s="320"/>
      <c r="F42" s="320"/>
      <c r="G42" s="320"/>
      <c r="H42" s="320"/>
      <c r="I42" s="587"/>
    </row>
    <row r="43" spans="1:14">
      <c r="A43" s="33" t="s">
        <v>376</v>
      </c>
      <c r="B43" s="12"/>
      <c r="C43" s="12"/>
      <c r="D43" s="12"/>
      <c r="E43" s="12"/>
      <c r="F43" s="12"/>
      <c r="G43" s="12"/>
      <c r="H43" s="12"/>
      <c r="I43" s="610"/>
    </row>
    <row r="44" spans="1:14">
      <c r="A44" s="33"/>
      <c r="B44" s="576" t="s">
        <v>479</v>
      </c>
      <c r="C44" s="12"/>
      <c r="D44" s="12"/>
      <c r="E44" s="12"/>
      <c r="F44" s="12"/>
      <c r="G44" s="12"/>
      <c r="H44" s="12"/>
      <c r="I44" s="610"/>
    </row>
    <row r="45" spans="1:14" ht="13.5" thickBot="1">
      <c r="A45" s="94"/>
      <c r="B45" s="597" t="s">
        <v>375</v>
      </c>
      <c r="C45" s="32"/>
      <c r="D45" s="32"/>
      <c r="E45" s="32"/>
      <c r="F45" s="32"/>
      <c r="G45" s="32"/>
      <c r="H45" s="32"/>
      <c r="I45" s="588"/>
    </row>
    <row r="46" spans="1:14">
      <c r="A46" s="148"/>
      <c r="I46" s="242"/>
    </row>
    <row r="47" spans="1:14">
      <c r="A47" s="340" t="s">
        <v>102</v>
      </c>
      <c r="B47" s="18">
        <f>SUM(B39:B41)-B38</f>
        <v>0</v>
      </c>
      <c r="C47" s="18">
        <f t="shared" ref="C47:I47" si="6">SUM(C39:C41)-C38</f>
        <v>0</v>
      </c>
      <c r="D47" s="18">
        <f t="shared" si="6"/>
        <v>0</v>
      </c>
      <c r="E47" s="18">
        <f t="shared" si="6"/>
        <v>0</v>
      </c>
      <c r="F47" s="18">
        <f t="shared" si="6"/>
        <v>0</v>
      </c>
      <c r="G47" s="18">
        <f t="shared" si="6"/>
        <v>0</v>
      </c>
      <c r="H47" s="18">
        <f t="shared" si="6"/>
        <v>0</v>
      </c>
      <c r="I47" s="18">
        <f t="shared" si="6"/>
        <v>0</v>
      </c>
    </row>
    <row r="48" spans="1:14">
      <c r="A48" s="21"/>
    </row>
    <row r="49" spans="1:1">
      <c r="A49" s="21"/>
    </row>
    <row r="50" spans="1:1">
      <c r="A50" s="21"/>
    </row>
    <row r="51" spans="1:1">
      <c r="A51" s="21"/>
    </row>
    <row r="52" spans="1:1">
      <c r="A52" s="21"/>
    </row>
    <row r="53" spans="1:1">
      <c r="A53" s="21"/>
    </row>
    <row r="54" spans="1:1">
      <c r="A54" s="21"/>
    </row>
    <row r="55" spans="1:1">
      <c r="A55" s="21"/>
    </row>
    <row r="56" spans="1:1">
      <c r="A56" s="21"/>
    </row>
    <row r="57" spans="1:1">
      <c r="A57" s="21"/>
    </row>
    <row r="58" spans="1:1">
      <c r="A58" s="21"/>
    </row>
    <row r="59" spans="1:1">
      <c r="A59" s="21"/>
    </row>
    <row r="60" spans="1:1">
      <c r="A60" s="21"/>
    </row>
    <row r="61" spans="1:1">
      <c r="A61" s="21"/>
    </row>
    <row r="62" spans="1:1">
      <c r="A62" s="21"/>
    </row>
    <row r="63" spans="1:1">
      <c r="A63" s="21"/>
    </row>
    <row r="64" spans="1:1">
      <c r="A64" s="21"/>
    </row>
    <row r="65" spans="1:1">
      <c r="A65" s="21"/>
    </row>
    <row r="66" spans="1:1">
      <c r="A66" s="21"/>
    </row>
    <row r="67" spans="1:1">
      <c r="A67" s="21"/>
    </row>
    <row r="68" spans="1:1">
      <c r="A68" s="21"/>
    </row>
    <row r="69" spans="1:1">
      <c r="A69" s="21"/>
    </row>
    <row r="70" spans="1:1">
      <c r="A70" s="21"/>
    </row>
    <row r="71" spans="1:1">
      <c r="A71" s="21"/>
    </row>
    <row r="72" spans="1:1">
      <c r="A72" s="21"/>
    </row>
    <row r="73" spans="1:1">
      <c r="A73" s="21"/>
    </row>
    <row r="74" spans="1:1">
      <c r="A74" s="21"/>
    </row>
    <row r="75" spans="1:1">
      <c r="A75" s="21"/>
    </row>
    <row r="76" spans="1:1">
      <c r="A76" s="21"/>
    </row>
    <row r="77" spans="1:1">
      <c r="A77" s="21"/>
    </row>
    <row r="78" spans="1:1">
      <c r="A78" s="21"/>
    </row>
    <row r="79" spans="1:1">
      <c r="A79" s="21"/>
    </row>
    <row r="80" spans="1:1">
      <c r="A80" s="21"/>
    </row>
    <row r="81" spans="1:1">
      <c r="A81" s="21"/>
    </row>
    <row r="82" spans="1:1">
      <c r="A82" s="21"/>
    </row>
    <row r="83" spans="1:1">
      <c r="A83" s="21"/>
    </row>
    <row r="84" spans="1:1">
      <c r="A84" s="21"/>
    </row>
    <row r="85" spans="1:1">
      <c r="A85" s="21"/>
    </row>
    <row r="86" spans="1:1">
      <c r="A86" s="21"/>
    </row>
    <row r="87" spans="1:1">
      <c r="A87" s="21"/>
    </row>
    <row r="88" spans="1:1">
      <c r="A88" s="21"/>
    </row>
    <row r="89" spans="1:1">
      <c r="A89" s="21"/>
    </row>
    <row r="90" spans="1:1">
      <c r="A90" s="21"/>
    </row>
    <row r="91" spans="1:1">
      <c r="A91" s="21"/>
    </row>
    <row r="92" spans="1:1">
      <c r="A92" s="21"/>
    </row>
    <row r="93" spans="1:1">
      <c r="A93" s="21"/>
    </row>
    <row r="94" spans="1:1">
      <c r="A94" s="21"/>
    </row>
    <row r="95" spans="1:1">
      <c r="A95" s="21"/>
    </row>
    <row r="96" spans="1:1">
      <c r="A96" s="21"/>
    </row>
    <row r="97" spans="1:1">
      <c r="A97" s="21"/>
    </row>
    <row r="98" spans="1:1">
      <c r="A98" s="21"/>
    </row>
    <row r="99" spans="1:1">
      <c r="A99" s="21"/>
    </row>
    <row r="100" spans="1:1">
      <c r="A100" s="21"/>
    </row>
    <row r="101" spans="1:1">
      <c r="A101" s="21"/>
    </row>
    <row r="102" spans="1:1">
      <c r="A102" s="21"/>
    </row>
    <row r="103" spans="1:1">
      <c r="A103" s="21"/>
    </row>
    <row r="104" spans="1:1">
      <c r="A104" s="21"/>
    </row>
    <row r="105" spans="1:1">
      <c r="A105" s="21"/>
    </row>
    <row r="106" spans="1:1">
      <c r="A106" s="21"/>
    </row>
    <row r="107" spans="1:1">
      <c r="A107" s="21"/>
    </row>
    <row r="108" spans="1:1">
      <c r="A108" s="21"/>
    </row>
    <row r="109" spans="1:1">
      <c r="A109" s="21"/>
    </row>
    <row r="110" spans="1:1">
      <c r="A110" s="21"/>
    </row>
    <row r="111" spans="1:1">
      <c r="A111" s="21"/>
    </row>
    <row r="112" spans="1:1">
      <c r="A112" s="21"/>
    </row>
    <row r="113" spans="1:1">
      <c r="A113" s="21"/>
    </row>
    <row r="114" spans="1:1">
      <c r="A114" s="21"/>
    </row>
    <row r="115" spans="1:1">
      <c r="A115" s="21"/>
    </row>
    <row r="116" spans="1:1">
      <c r="A116" s="21"/>
    </row>
    <row r="117" spans="1:1">
      <c r="A117" s="21"/>
    </row>
    <row r="118" spans="1:1">
      <c r="A118" s="21"/>
    </row>
    <row r="119" spans="1:1">
      <c r="A119" s="21"/>
    </row>
    <row r="120" spans="1:1">
      <c r="A120" s="21"/>
    </row>
    <row r="121" spans="1:1">
      <c r="A121" s="21"/>
    </row>
    <row r="122" spans="1:1">
      <c r="A122" s="21"/>
    </row>
    <row r="123" spans="1:1">
      <c r="A123" s="21"/>
    </row>
    <row r="124" spans="1:1">
      <c r="A124" s="21"/>
    </row>
    <row r="125" spans="1:1">
      <c r="A125" s="21"/>
    </row>
    <row r="126" spans="1:1">
      <c r="A126" s="21"/>
    </row>
    <row r="127" spans="1:1">
      <c r="A127" s="21"/>
    </row>
    <row r="128" spans="1:1">
      <c r="A128" s="21"/>
    </row>
    <row r="129" spans="1:1">
      <c r="A129" s="21"/>
    </row>
    <row r="130" spans="1:1">
      <c r="A130" s="21"/>
    </row>
    <row r="131" spans="1:1">
      <c r="A131" s="21"/>
    </row>
    <row r="132" spans="1:1">
      <c r="A132" s="21"/>
    </row>
    <row r="133" spans="1:1">
      <c r="A133" s="21"/>
    </row>
    <row r="134" spans="1:1">
      <c r="A134" s="21"/>
    </row>
    <row r="135" spans="1:1">
      <c r="A135" s="21"/>
    </row>
    <row r="136" spans="1:1">
      <c r="A136" s="21"/>
    </row>
    <row r="137" spans="1:1">
      <c r="A137" s="21"/>
    </row>
    <row r="138" spans="1:1">
      <c r="A138" s="21"/>
    </row>
    <row r="139" spans="1:1">
      <c r="A139" s="21"/>
    </row>
    <row r="140" spans="1:1">
      <c r="A140" s="21"/>
    </row>
    <row r="141" spans="1:1">
      <c r="A141" s="21"/>
    </row>
    <row r="142" spans="1:1">
      <c r="A142" s="21"/>
    </row>
    <row r="143" spans="1:1">
      <c r="A143" s="21"/>
    </row>
    <row r="144" spans="1:1">
      <c r="A144" s="21"/>
    </row>
    <row r="145" spans="1:1">
      <c r="A145" s="21"/>
    </row>
    <row r="146" spans="1:1">
      <c r="A146" s="21"/>
    </row>
    <row r="147" spans="1:1">
      <c r="A147" s="21"/>
    </row>
    <row r="148" spans="1:1">
      <c r="A148" s="21"/>
    </row>
    <row r="149" spans="1:1">
      <c r="A149" s="21"/>
    </row>
    <row r="150" spans="1:1">
      <c r="A150" s="21"/>
    </row>
    <row r="151" spans="1:1">
      <c r="A151" s="21"/>
    </row>
    <row r="152" spans="1:1">
      <c r="A152" s="21"/>
    </row>
    <row r="153" spans="1:1">
      <c r="A153" s="21"/>
    </row>
    <row r="154" spans="1:1">
      <c r="A154" s="21"/>
    </row>
    <row r="155" spans="1:1">
      <c r="A155" s="21"/>
    </row>
    <row r="156" spans="1:1">
      <c r="A156" s="21"/>
    </row>
    <row r="157" spans="1:1">
      <c r="A157" s="21"/>
    </row>
    <row r="158" spans="1:1">
      <c r="A158" s="21"/>
    </row>
    <row r="159" spans="1:1">
      <c r="A159" s="21"/>
    </row>
    <row r="160" spans="1:1">
      <c r="A160" s="21"/>
    </row>
    <row r="161" spans="1:1">
      <c r="A161" s="21"/>
    </row>
    <row r="162" spans="1:1">
      <c r="A162" s="21"/>
    </row>
    <row r="163" spans="1:1">
      <c r="A163" s="21"/>
    </row>
    <row r="164" spans="1:1">
      <c r="A164" s="21"/>
    </row>
    <row r="165" spans="1:1">
      <c r="A165" s="21"/>
    </row>
    <row r="166" spans="1:1">
      <c r="A166" s="21"/>
    </row>
    <row r="167" spans="1:1">
      <c r="A167" s="21"/>
    </row>
    <row r="168" spans="1:1">
      <c r="A168" s="21"/>
    </row>
    <row r="169" spans="1:1">
      <c r="A169" s="21"/>
    </row>
    <row r="170" spans="1:1">
      <c r="A170" s="21"/>
    </row>
    <row r="171" spans="1:1">
      <c r="A171" s="21"/>
    </row>
    <row r="172" spans="1:1">
      <c r="A172" s="21"/>
    </row>
    <row r="173" spans="1:1">
      <c r="A173" s="21"/>
    </row>
    <row r="174" spans="1:1">
      <c r="A174" s="21"/>
    </row>
    <row r="175" spans="1:1">
      <c r="A175" s="21"/>
    </row>
    <row r="176" spans="1:1">
      <c r="A176" s="21"/>
    </row>
    <row r="177" spans="1:1">
      <c r="A177" s="21"/>
    </row>
    <row r="178" spans="1:1">
      <c r="A178" s="21"/>
    </row>
    <row r="179" spans="1:1">
      <c r="A179" s="21"/>
    </row>
    <row r="180" spans="1:1">
      <c r="A180" s="21"/>
    </row>
    <row r="181" spans="1:1">
      <c r="A181" s="21"/>
    </row>
    <row r="182" spans="1:1">
      <c r="A182" s="21"/>
    </row>
    <row r="183" spans="1:1">
      <c r="A183" s="21"/>
    </row>
    <row r="184" spans="1:1">
      <c r="A184" s="21"/>
    </row>
    <row r="185" spans="1:1">
      <c r="A185" s="21"/>
    </row>
    <row r="186" spans="1:1">
      <c r="A186" s="21"/>
    </row>
    <row r="187" spans="1:1">
      <c r="A187" s="21"/>
    </row>
    <row r="188" spans="1:1">
      <c r="A188" s="21"/>
    </row>
    <row r="189" spans="1:1">
      <c r="A189" s="21"/>
    </row>
    <row r="190" spans="1:1">
      <c r="A190" s="21"/>
    </row>
    <row r="191" spans="1:1">
      <c r="A191" s="21"/>
    </row>
    <row r="192" spans="1:1">
      <c r="A192" s="21"/>
    </row>
    <row r="193" spans="1:1">
      <c r="A193" s="21"/>
    </row>
    <row r="194" spans="1:1">
      <c r="A194" s="21"/>
    </row>
    <row r="195" spans="1:1">
      <c r="A195" s="21"/>
    </row>
    <row r="196" spans="1:1">
      <c r="A196" s="21"/>
    </row>
    <row r="197" spans="1:1">
      <c r="A197" s="21"/>
    </row>
    <row r="198" spans="1:1">
      <c r="A198" s="21"/>
    </row>
    <row r="199" spans="1:1">
      <c r="A199" s="21"/>
    </row>
    <row r="200" spans="1:1">
      <c r="A200" s="21"/>
    </row>
    <row r="201" spans="1:1">
      <c r="A201" s="21"/>
    </row>
    <row r="202" spans="1:1">
      <c r="A202" s="21"/>
    </row>
    <row r="203" spans="1:1">
      <c r="A203" s="21"/>
    </row>
    <row r="204" spans="1:1">
      <c r="A204" s="21"/>
    </row>
    <row r="205" spans="1:1">
      <c r="A205" s="21"/>
    </row>
    <row r="206" spans="1:1">
      <c r="A206" s="21"/>
    </row>
    <row r="207" spans="1:1">
      <c r="A207" s="21"/>
    </row>
    <row r="208" spans="1:1">
      <c r="A208" s="21"/>
    </row>
    <row r="209" spans="1:1">
      <c r="A209" s="21"/>
    </row>
    <row r="210" spans="1:1">
      <c r="A210" s="21"/>
    </row>
    <row r="211" spans="1:1">
      <c r="A211" s="21"/>
    </row>
    <row r="212" spans="1:1">
      <c r="A212" s="21"/>
    </row>
    <row r="213" spans="1:1">
      <c r="A213" s="21"/>
    </row>
    <row r="214" spans="1:1">
      <c r="A214" s="21"/>
    </row>
    <row r="215" spans="1:1">
      <c r="A215" s="21"/>
    </row>
    <row r="216" spans="1:1">
      <c r="A216" s="21"/>
    </row>
    <row r="217" spans="1:1">
      <c r="A217" s="21"/>
    </row>
    <row r="218" spans="1:1">
      <c r="A218" s="21"/>
    </row>
    <row r="219" spans="1:1">
      <c r="A219" s="21"/>
    </row>
    <row r="220" spans="1:1">
      <c r="A220" s="21"/>
    </row>
    <row r="221" spans="1:1">
      <c r="A221" s="21"/>
    </row>
    <row r="222" spans="1:1">
      <c r="A222" s="21"/>
    </row>
    <row r="223" spans="1:1">
      <c r="A223" s="21"/>
    </row>
    <row r="224" spans="1:1">
      <c r="A224" s="21"/>
    </row>
    <row r="225" spans="1:1">
      <c r="A225" s="21"/>
    </row>
    <row r="226" spans="1:1">
      <c r="A226" s="21"/>
    </row>
    <row r="227" spans="1:1">
      <c r="A227" s="21"/>
    </row>
  </sheetData>
  <mergeCells count="2">
    <mergeCell ref="A1:I1"/>
    <mergeCell ref="B2:F2"/>
  </mergeCells>
  <printOptions horizontalCentered="1"/>
  <pageMargins left="0.75" right="0.75" top="1" bottom="1" header="0.5" footer="0.5"/>
  <pageSetup scale="74" orientation="portrait" r:id="rId1"/>
  <headerFooter alignWithMargins="0">
    <oddFooter>&amp;L&amp;F
&amp;A&amp;R&amp;P of &amp;N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 codeName="Sheet40">
    <tabColor rgb="FFFFC000"/>
  </sheetPr>
  <dimension ref="A1:AG59"/>
  <sheetViews>
    <sheetView topLeftCell="L4" zoomScaleNormal="100" workbookViewId="0">
      <selection activeCell="AA7" sqref="AA7"/>
    </sheetView>
  </sheetViews>
  <sheetFormatPr defaultRowHeight="12.75"/>
  <cols>
    <col min="1" max="1" width="32.7109375" customWidth="1"/>
    <col min="2" max="2" width="12.85546875" bestFit="1" customWidth="1"/>
    <col min="3" max="4" width="8.7109375" bestFit="1" customWidth="1"/>
    <col min="5" max="5" width="11.7109375" customWidth="1"/>
    <col min="6" max="6" width="12.85546875" bestFit="1" customWidth="1"/>
    <col min="7" max="8" width="11.5703125" customWidth="1"/>
    <col min="9" max="9" width="11.42578125" customWidth="1"/>
    <col min="10" max="10" width="12.85546875" bestFit="1" customWidth="1"/>
    <col min="11" max="11" width="11.28515625" bestFit="1" customWidth="1"/>
    <col min="12" max="12" width="10.140625" customWidth="1"/>
    <col min="13" max="13" width="11.7109375" customWidth="1"/>
    <col min="14" max="14" width="12.85546875" bestFit="1" customWidth="1"/>
    <col min="15" max="16" width="11.28515625" bestFit="1" customWidth="1"/>
    <col min="17" max="21" width="12.5703125" customWidth="1"/>
    <col min="22" max="22" width="12.85546875" bestFit="1" customWidth="1"/>
    <col min="23" max="24" width="11.42578125" customWidth="1"/>
    <col min="25" max="29" width="13" customWidth="1"/>
    <col min="30" max="30" width="12.85546875" bestFit="1" customWidth="1"/>
    <col min="31" max="32" width="11.28515625" bestFit="1" customWidth="1"/>
    <col min="33" max="33" width="10.28515625" bestFit="1" customWidth="1"/>
  </cols>
  <sheetData>
    <row r="1" spans="1:33" ht="18.75" thickBot="1">
      <c r="A1" s="841" t="s">
        <v>197</v>
      </c>
      <c r="B1" s="841"/>
      <c r="C1" s="841"/>
      <c r="D1" s="841"/>
      <c r="E1" s="841"/>
      <c r="F1" s="841"/>
      <c r="G1" s="841"/>
      <c r="H1" s="841"/>
      <c r="I1" s="841"/>
      <c r="J1" s="841"/>
      <c r="K1" s="841"/>
      <c r="L1" s="841"/>
      <c r="M1" s="841"/>
      <c r="N1" s="841"/>
      <c r="O1" s="841"/>
      <c r="P1" s="841"/>
      <c r="Q1" s="841"/>
      <c r="R1" s="841"/>
      <c r="S1" s="841"/>
      <c r="T1" s="841"/>
      <c r="U1" s="841"/>
      <c r="V1" s="841"/>
      <c r="W1" s="841"/>
      <c r="X1" s="841"/>
      <c r="Y1" s="841"/>
      <c r="Z1" s="307"/>
      <c r="AA1" s="307"/>
      <c r="AB1" s="307"/>
      <c r="AC1" s="307"/>
    </row>
    <row r="2" spans="1:33" ht="13.5" thickBot="1">
      <c r="A2" s="308"/>
      <c r="B2" s="834" t="s">
        <v>132</v>
      </c>
      <c r="C2" s="835"/>
      <c r="D2" s="835"/>
      <c r="E2" s="835"/>
      <c r="F2" s="835"/>
      <c r="G2" s="835"/>
      <c r="H2" s="835"/>
      <c r="I2" s="835"/>
      <c r="J2" s="835"/>
      <c r="K2" s="835"/>
      <c r="L2" s="835"/>
      <c r="M2" s="835"/>
      <c r="N2" s="835"/>
      <c r="O2" s="835"/>
      <c r="P2" s="835"/>
      <c r="Q2" s="835"/>
      <c r="R2" s="835"/>
      <c r="S2" s="835"/>
      <c r="T2" s="835"/>
      <c r="U2" s="837"/>
      <c r="V2" s="834" t="s">
        <v>133</v>
      </c>
      <c r="W2" s="835"/>
      <c r="X2" s="835"/>
      <c r="Y2" s="837"/>
      <c r="Z2" s="834" t="s">
        <v>259</v>
      </c>
      <c r="AA2" s="835"/>
      <c r="AB2" s="835"/>
      <c r="AC2" s="837"/>
      <c r="AD2" s="835" t="s">
        <v>254</v>
      </c>
      <c r="AE2" s="835"/>
      <c r="AF2" s="835"/>
      <c r="AG2" s="837"/>
    </row>
    <row r="3" spans="1:33">
      <c r="A3" s="68"/>
      <c r="B3" s="842" t="s">
        <v>127</v>
      </c>
      <c r="C3" s="843"/>
      <c r="D3" s="843"/>
      <c r="E3" s="844"/>
      <c r="F3" s="842" t="s">
        <v>114</v>
      </c>
      <c r="G3" s="843"/>
      <c r="H3" s="843"/>
      <c r="I3" s="844"/>
      <c r="J3" s="843" t="s">
        <v>33</v>
      </c>
      <c r="K3" s="843"/>
      <c r="L3" s="843"/>
      <c r="M3" s="844"/>
      <c r="N3" s="836" t="s">
        <v>34</v>
      </c>
      <c r="O3" s="843"/>
      <c r="P3" s="843"/>
      <c r="Q3" s="844"/>
      <c r="R3" s="836" t="s">
        <v>138</v>
      </c>
      <c r="S3" s="843"/>
      <c r="T3" s="843"/>
      <c r="U3" s="844"/>
      <c r="V3" s="847"/>
      <c r="W3" s="847"/>
      <c r="X3" s="847"/>
      <c r="Y3" s="848"/>
      <c r="Z3" s="846"/>
      <c r="AA3" s="847"/>
      <c r="AB3" s="847"/>
      <c r="AC3" s="848"/>
      <c r="AD3" s="847"/>
      <c r="AE3" s="847"/>
      <c r="AF3" s="847"/>
      <c r="AG3" s="848"/>
    </row>
    <row r="4" spans="1:33" ht="13.5" thickBot="1">
      <c r="A4" s="311" t="s">
        <v>4</v>
      </c>
      <c r="B4" s="311" t="s">
        <v>36</v>
      </c>
      <c r="C4" s="312" t="s">
        <v>37</v>
      </c>
      <c r="D4" s="312" t="s">
        <v>38</v>
      </c>
      <c r="E4" s="313" t="s">
        <v>41</v>
      </c>
      <c r="F4" s="311" t="s">
        <v>36</v>
      </c>
      <c r="G4" s="312" t="s">
        <v>37</v>
      </c>
      <c r="H4" s="312" t="s">
        <v>38</v>
      </c>
      <c r="I4" s="313" t="s">
        <v>41</v>
      </c>
      <c r="J4" s="312" t="s">
        <v>36</v>
      </c>
      <c r="K4" s="312" t="s">
        <v>37</v>
      </c>
      <c r="L4" s="312" t="s">
        <v>38</v>
      </c>
      <c r="M4" s="313" t="s">
        <v>41</v>
      </c>
      <c r="N4" s="311" t="s">
        <v>36</v>
      </c>
      <c r="O4" s="312" t="s">
        <v>37</v>
      </c>
      <c r="P4" s="312" t="s">
        <v>38</v>
      </c>
      <c r="Q4" s="313" t="s">
        <v>41</v>
      </c>
      <c r="R4" s="311" t="s">
        <v>36</v>
      </c>
      <c r="S4" s="312" t="s">
        <v>37</v>
      </c>
      <c r="T4" s="312" t="s">
        <v>38</v>
      </c>
      <c r="U4" s="313" t="s">
        <v>41</v>
      </c>
      <c r="V4" s="312" t="s">
        <v>36</v>
      </c>
      <c r="W4" s="312" t="s">
        <v>37</v>
      </c>
      <c r="X4" s="312" t="s">
        <v>38</v>
      </c>
      <c r="Y4" s="313" t="s">
        <v>41</v>
      </c>
      <c r="Z4" s="311" t="s">
        <v>36</v>
      </c>
      <c r="AA4" s="312" t="s">
        <v>37</v>
      </c>
      <c r="AB4" s="312" t="s">
        <v>38</v>
      </c>
      <c r="AC4" s="313" t="s">
        <v>41</v>
      </c>
      <c r="AD4" s="312" t="s">
        <v>36</v>
      </c>
      <c r="AE4" s="312" t="s">
        <v>37</v>
      </c>
      <c r="AF4" s="312" t="s">
        <v>38</v>
      </c>
      <c r="AG4" s="313" t="s">
        <v>41</v>
      </c>
    </row>
    <row r="5" spans="1:33">
      <c r="A5" s="5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6" t="s">
        <v>42</v>
      </c>
      <c r="K5" s="6" t="s">
        <v>42</v>
      </c>
      <c r="L5" s="6" t="s">
        <v>42</v>
      </c>
      <c r="M5" s="7" t="s">
        <v>43</v>
      </c>
      <c r="N5" s="5" t="s">
        <v>42</v>
      </c>
      <c r="O5" s="6" t="s">
        <v>42</v>
      </c>
      <c r="P5" s="6" t="s">
        <v>42</v>
      </c>
      <c r="Q5" s="7" t="s">
        <v>43</v>
      </c>
      <c r="R5" s="5" t="s">
        <v>42</v>
      </c>
      <c r="S5" s="6" t="s">
        <v>42</v>
      </c>
      <c r="T5" s="6" t="s">
        <v>42</v>
      </c>
      <c r="U5" s="7" t="s">
        <v>43</v>
      </c>
      <c r="V5" s="6" t="s">
        <v>42</v>
      </c>
      <c r="W5" s="6" t="s">
        <v>42</v>
      </c>
      <c r="X5" s="6" t="s">
        <v>42</v>
      </c>
      <c r="Y5" s="7" t="s">
        <v>43</v>
      </c>
      <c r="Z5" s="5" t="s">
        <v>42</v>
      </c>
      <c r="AA5" s="6" t="s">
        <v>42</v>
      </c>
      <c r="AB5" s="6" t="s">
        <v>42</v>
      </c>
      <c r="AC5" s="7" t="s">
        <v>43</v>
      </c>
      <c r="AD5" s="6" t="s">
        <v>42</v>
      </c>
      <c r="AE5" s="6" t="s">
        <v>42</v>
      </c>
      <c r="AF5" s="6" t="s">
        <v>42</v>
      </c>
      <c r="AG5" s="7" t="s">
        <v>43</v>
      </c>
    </row>
    <row r="6" spans="1:33">
      <c r="A6" s="10"/>
      <c r="B6" s="132"/>
      <c r="C6" s="8"/>
      <c r="D6" s="8"/>
      <c r="E6" s="9"/>
      <c r="F6" s="132"/>
      <c r="G6" s="8"/>
      <c r="H6" s="8"/>
      <c r="I6" s="9"/>
      <c r="J6" s="8"/>
      <c r="K6" s="8"/>
      <c r="L6" s="8"/>
      <c r="M6" s="9"/>
      <c r="N6" s="132"/>
      <c r="O6" s="8"/>
      <c r="P6" s="8"/>
      <c r="Q6" s="9"/>
      <c r="R6" s="132"/>
      <c r="S6" s="8"/>
      <c r="T6" s="8"/>
      <c r="U6" s="9"/>
      <c r="V6" s="8"/>
      <c r="W6" s="8"/>
      <c r="X6" s="8"/>
      <c r="Y6" s="9"/>
      <c r="Z6" s="132"/>
      <c r="AA6" s="8"/>
      <c r="AB6" s="8"/>
      <c r="AC6" s="9"/>
      <c r="AD6" s="8"/>
      <c r="AE6" s="8"/>
      <c r="AF6" s="8"/>
      <c r="AG6" s="9"/>
    </row>
    <row r="7" spans="1:33">
      <c r="A7" s="153" t="s">
        <v>5</v>
      </c>
      <c r="B7" s="137">
        <f>'Sch AL-TOU Cust Fcst'!$B6*'Non-Residential TSM UC Adj'!B7</f>
        <v>5529.5792257451831</v>
      </c>
      <c r="C7" s="23">
        <f>'Sch AL-TOU Cust Fcst'!$B6*'Non-Residential TSM UC Adj'!C7</f>
        <v>2131.1753171005466</v>
      </c>
      <c r="D7" s="23">
        <f>'Sch AL-TOU Cust Fcst'!$B6*'Non-Residential TSM UC Adj'!D7</f>
        <v>4451.6948996471419</v>
      </c>
      <c r="E7" s="45">
        <f>IF(SUM(B7:D7)=0,0,SUM(B7:D7)/'Sch AL-TOU Cust Fcst'!B6)</f>
        <v>637.49733907857217</v>
      </c>
      <c r="F7" s="137">
        <f>'Sch AL-TOU Cust Fcst'!$C6*'Non-Residential TSM UC Adj'!F7</f>
        <v>1008.4093280282156</v>
      </c>
      <c r="G7" s="23">
        <f>'Sch AL-TOU Cust Fcst'!$C6*'Non-Residential TSM UC Adj'!G7</f>
        <v>1829.4609753019611</v>
      </c>
      <c r="H7" s="23">
        <f>'Sch AL-TOU Cust Fcst'!$C6*'Non-Residential TSM UC Adj'!H7</f>
        <v>905.29049688042528</v>
      </c>
      <c r="I7" s="45">
        <f>IF(SUM(F7:H7)=0,0,SUM(F7:H7)/'Sch AL-TOU Cust Fcst'!C6)</f>
        <v>1247.7202667368674</v>
      </c>
      <c r="J7" s="137">
        <f>'Sch AL-TOU Cust Fcst'!$D6*'Non-Residential TSM UC Adj'!J7</f>
        <v>13077.116917714678</v>
      </c>
      <c r="K7" s="23">
        <f>'Sch AL-TOU Cust Fcst'!$D6*'Non-Residential TSM UC Adj'!K7</f>
        <v>22563.352028724188</v>
      </c>
      <c r="L7" s="23">
        <f>'Sch AL-TOU Cust Fcst'!$D6*'Non-Residential TSM UC Adj'!L7</f>
        <v>11165.249461525245</v>
      </c>
      <c r="M7" s="45">
        <f>IF(SUM(J7:L7)=0,0,SUM(J7:L7)/'Sch AL-TOU Cust Fcst'!D6)</f>
        <v>1265.0194164314623</v>
      </c>
      <c r="N7" s="137">
        <f>'Sch AL-TOU Cust Fcst'!$E6*'Non-Residential TSM UC Adj'!N7</f>
        <v>8338.2783559197906</v>
      </c>
      <c r="O7" s="23">
        <f>'Sch AL-TOU Cust Fcst'!$E6*'Non-Residential TSM UC Adj'!O7</f>
        <v>12196.406502013073</v>
      </c>
      <c r="P7" s="23">
        <f>'Sch AL-TOU Cust Fcst'!$E6*'Non-Residential TSM UC Adj'!P7</f>
        <v>6035.2699792028352</v>
      </c>
      <c r="Q7" s="45">
        <f>IF(SUM(N7:P7)=0,0,SUM(N7:P7)/'Sch AL-TOU Cust Fcst'!E6)</f>
        <v>1328.4977418567851</v>
      </c>
      <c r="R7" s="137">
        <f>B7+F7+J7+N7</f>
        <v>27953.383827407866</v>
      </c>
      <c r="S7" s="23">
        <f t="shared" ref="S7:T22" si="0">C7+G7+K7+O7</f>
        <v>38720.394823139766</v>
      </c>
      <c r="T7" s="23">
        <f t="shared" si="0"/>
        <v>22557.504837255648</v>
      </c>
      <c r="U7" s="45">
        <f>IF(SUM(R7:T7)=0,0,SUM(R7:T7)/'Sch AL-TOU Cust Fcst'!F6)</f>
        <v>1129.5099175671303</v>
      </c>
      <c r="V7" s="37">
        <f>'Sch AL-TOU Cust Fcst'!$G6*'Non-Residential TSM UC Adj'!R7</f>
        <v>0</v>
      </c>
      <c r="W7" s="37">
        <f>'Sch AL-TOU Cust Fcst'!$G6*'Non-Residential TSM UC Adj'!S7</f>
        <v>9389.781938826658</v>
      </c>
      <c r="X7" s="37">
        <f>'Sch AL-TOU Cust Fcst'!$G6*'Non-Residential TSM UC Adj'!T7</f>
        <v>2597.0275508744826</v>
      </c>
      <c r="Y7" s="45">
        <f>IF(SUM(V7:X7)=0,0,SUM(V7:X7)/'Sch AL-TOU Cust Fcst'!G6)</f>
        <v>3995.6031632337131</v>
      </c>
      <c r="Z7" s="37">
        <f>'Sch AL-TOU Cust Fcst'!$H6*'Non-Residential TSM UC Adj'!R7</f>
        <v>0</v>
      </c>
      <c r="AA7" s="37">
        <f>'Sch AL-TOU Cust Fcst'!$H6*'Non-Residential TSM UC Adj'!W7</f>
        <v>0</v>
      </c>
      <c r="AB7" s="37">
        <f>'Sch AL-TOU Cust Fcst'!$H6*'Non-Residential TSM UC Adj'!X7</f>
        <v>0</v>
      </c>
      <c r="AC7" s="45">
        <f>IF(SUM(Z7:AB7)=0,0,SUM(Z7:AB7)/'Sch AL-TOU Cust Fcst'!H6)</f>
        <v>0</v>
      </c>
      <c r="AD7" s="23">
        <f>R7+V7+Z7</f>
        <v>27953.383827407866</v>
      </c>
      <c r="AE7" s="23">
        <f t="shared" ref="AE7:AF22" si="1">S7+W7+AA7</f>
        <v>48110.176761966424</v>
      </c>
      <c r="AF7" s="23">
        <f t="shared" si="1"/>
        <v>25154.53238813013</v>
      </c>
      <c r="AG7" s="45">
        <f>IF(SUM(AD7:AF7)=0,0,SUM(AD7:AF7)/'Sch AL-TOU Cust Fcst'!I6)</f>
        <v>1234.3669875305418</v>
      </c>
    </row>
    <row r="8" spans="1:33">
      <c r="A8" s="154" t="s">
        <v>6</v>
      </c>
      <c r="B8" s="137">
        <f>'Sch AL-TOU Cust Fcst'!$B7*'Non-Residential TSM UC Adj'!B8</f>
        <v>76832.048189301495</v>
      </c>
      <c r="C8" s="23">
        <f>'Sch AL-TOU Cust Fcst'!$B7*'Non-Residential TSM UC Adj'!C8</f>
        <v>9870.7067318341105</v>
      </c>
      <c r="D8" s="23">
        <f>'Sch AL-TOU Cust Fcst'!$B7*'Non-Residential TSM UC Adj'!D8</f>
        <v>20618.376377313078</v>
      </c>
      <c r="E8" s="45">
        <f>IF(SUM(B8:D8)=0,0,SUM(B8:D8)/'Sch AL-TOU Cust Fcst'!B7)</f>
        <v>1219.5583102096441</v>
      </c>
      <c r="F8" s="137">
        <f>'Sch AL-TOU Cust Fcst'!$C7*'Non-Residential TSM UC Adj'!F8</f>
        <v>4033.6373121128622</v>
      </c>
      <c r="G8" s="23">
        <f>'Sch AL-TOU Cust Fcst'!$C7*'Non-Residential TSM UC Adj'!G8</f>
        <v>2439.2813004026148</v>
      </c>
      <c r="H8" s="23">
        <f>'Sch AL-TOU Cust Fcst'!$C7*'Non-Residential TSM UC Adj'!H8</f>
        <v>1207.053995840567</v>
      </c>
      <c r="I8" s="45">
        <f>IF(SUM(F8:H8)=0,0,SUM(F8:H8)/'Sch AL-TOU Cust Fcst'!C7)</f>
        <v>1919.9931520890111</v>
      </c>
      <c r="J8" s="137">
        <f>'Sch AL-TOU Cust Fcst'!$D7*'Non-Residential TSM UC Adj'!J8</f>
        <v>58316.872741160063</v>
      </c>
      <c r="K8" s="23">
        <f>'Sch AL-TOU Cust Fcst'!$D7*'Non-Residential TSM UC Adj'!K8</f>
        <v>33540.117880535952</v>
      </c>
      <c r="L8" s="23">
        <f>'Sch AL-TOU Cust Fcst'!$D7*'Non-Residential TSM UC Adj'!L8</f>
        <v>16596.992442807797</v>
      </c>
      <c r="M8" s="45">
        <f>IF(SUM(J8:L8)=0,0,SUM(J8:L8)/'Sch AL-TOU Cust Fcst'!D7)</f>
        <v>1971.8906011727966</v>
      </c>
      <c r="N8" s="137">
        <f>'Sch AL-TOU Cust Fcst'!$E7*'Non-Residential TSM UC Adj'!N8</f>
        <v>47528.186628742806</v>
      </c>
      <c r="O8" s="23">
        <f>'Sch AL-TOU Cust Fcst'!$E7*'Non-Residential TSM UC Adj'!O8</f>
        <v>23173.172353824841</v>
      </c>
      <c r="P8" s="23">
        <f>'Sch AL-TOU Cust Fcst'!$E7*'Non-Residential TSM UC Adj'!P8</f>
        <v>11467.012960485386</v>
      </c>
      <c r="Q8" s="45">
        <f>IF(SUM(N8:P8)=0,0,SUM(N8:P8)/'Sch AL-TOU Cust Fcst'!E7)</f>
        <v>2162.3255774487639</v>
      </c>
      <c r="R8" s="137">
        <f t="shared" ref="R8:T37" si="2">B8+F8+J8+N8</f>
        <v>186710.74487131723</v>
      </c>
      <c r="S8" s="23">
        <f t="shared" si="0"/>
        <v>69023.27826659751</v>
      </c>
      <c r="T8" s="23">
        <f t="shared" si="0"/>
        <v>49889.43577644683</v>
      </c>
      <c r="U8" s="45">
        <f>IF(SUM(R8:T8)=0,0,SUM(R8:T8)/'Sch AL-TOU Cust Fcst'!F7)</f>
        <v>1652.0186968343867</v>
      </c>
      <c r="V8" s="37">
        <f>'Sch AL-TOU Cust Fcst'!$G7*'Non-Residential TSM UC Adj'!R8</f>
        <v>0</v>
      </c>
      <c r="W8" s="37">
        <f>'Sch AL-TOU Cust Fcst'!$G7*'Non-Residential TSM UC Adj'!S8</f>
        <v>6259.854625884439</v>
      </c>
      <c r="X8" s="37">
        <f>'Sch AL-TOU Cust Fcst'!$G7*'Non-Residential TSM UC Adj'!T8</f>
        <v>1731.3517005829883</v>
      </c>
      <c r="Y8" s="45">
        <f>IF(SUM(V8:X8)=0,0,SUM(V8:X8)/'Sch AL-TOU Cust Fcst'!G7)</f>
        <v>3995.6031632337135</v>
      </c>
      <c r="Z8" s="37">
        <f>'Sch AL-TOU Cust Fcst'!$H7*'Non-Residential TSM UC Adj'!R8</f>
        <v>0</v>
      </c>
      <c r="AA8" s="37">
        <f>'Sch AL-TOU Cust Fcst'!$H7*'Non-Residential TSM UC Adj'!W8</f>
        <v>0</v>
      </c>
      <c r="AB8" s="37">
        <f>'Sch AL-TOU Cust Fcst'!$H7*'Non-Residential TSM UC Adj'!X8</f>
        <v>0</v>
      </c>
      <c r="AC8" s="45">
        <f>IF(SUM(Z8:AB8)=0,0,SUM(Z8:AB8)/'Sch AL-TOU Cust Fcst'!H7)</f>
        <v>0</v>
      </c>
      <c r="AD8" s="23">
        <f t="shared" ref="AD8:AD37" si="3">R8+V8+Z8</f>
        <v>186710.74487131723</v>
      </c>
      <c r="AE8" s="23">
        <f t="shared" si="1"/>
        <v>75283.132892481954</v>
      </c>
      <c r="AF8" s="23">
        <f t="shared" si="1"/>
        <v>51620.787477029815</v>
      </c>
      <c r="AG8" s="45">
        <f>IF(SUM(AD8:AF8)=0,0,SUM(AD8:AF8)/'Sch AL-TOU Cust Fcst'!I7)</f>
        <v>1677.0837713413316</v>
      </c>
    </row>
    <row r="9" spans="1:33">
      <c r="A9" s="155" t="s">
        <v>7</v>
      </c>
      <c r="B9" s="137">
        <f>'Sch AL-TOU Cust Fcst'!$B8*'Non-Residential TSM UC Adj'!B9</f>
        <v>171999.01696923174</v>
      </c>
      <c r="C9" s="23">
        <f>'Sch AL-TOU Cust Fcst'!$B8*'Non-Residential TSM UC Adj'!C9</f>
        <v>31146.614822976262</v>
      </c>
      <c r="D9" s="23">
        <f>'Sch AL-TOU Cust Fcst'!$B8*'Non-Residential TSM UC Adj'!D9</f>
        <v>46157.047117394046</v>
      </c>
      <c r="E9" s="45">
        <f>IF(SUM(B9:D9)=0,0,SUM(B9:D9)/'Sch AL-TOU Cust Fcst'!B8)</f>
        <v>1265.4958320284368</v>
      </c>
      <c r="F9" s="137">
        <f>'Sch AL-TOU Cust Fcst'!$C8*'Non-Residential TSM UC Adj'!F9</f>
        <v>28235.461184790034</v>
      </c>
      <c r="G9" s="23">
        <f>'Sch AL-TOU Cust Fcst'!$C8*'Non-Residential TSM UC Adj'!G9</f>
        <v>10056.086867603455</v>
      </c>
      <c r="H9" s="23">
        <f>'Sch AL-TOU Cust Fcst'!$C8*'Non-Residential TSM UC Adj'!H9</f>
        <v>4224.6889854419842</v>
      </c>
      <c r="I9" s="45">
        <f>IF(SUM(F9:H9)=0,0,SUM(F9:H9)/'Sch AL-TOU Cust Fcst'!C8)</f>
        <v>3036.8740741311053</v>
      </c>
      <c r="J9" s="137">
        <f>'Sch AL-TOU Cust Fcst'!$D8*'Non-Residential TSM UC Adj'!J9</f>
        <v>284162.2162660163</v>
      </c>
      <c r="K9" s="23">
        <f>'Sch AL-TOU Cust Fcst'!$D8*'Non-Residential TSM UC Adj'!K9</f>
        <v>96251.117161347342</v>
      </c>
      <c r="L9" s="23">
        <f>'Sch AL-TOU Cust Fcst'!$D8*'Non-Residential TSM UC Adj'!L9</f>
        <v>40436.308860658995</v>
      </c>
      <c r="M9" s="45">
        <f>IF(SUM(J9:L9)=0,0,SUM(J9:L9)/'Sch AL-TOU Cust Fcst'!D8)</f>
        <v>3140.6689722986766</v>
      </c>
      <c r="N9" s="137">
        <f>'Sch AL-TOU Cust Fcst'!$E8*'Non-Residential TSM UC Adj'!N9</f>
        <v>210124.61456917872</v>
      </c>
      <c r="O9" s="23">
        <f>'Sch AL-TOU Cust Fcst'!$E8*'Non-Residential TSM UC Adj'!O9</f>
        <v>60336.521205620724</v>
      </c>
      <c r="P9" s="23">
        <f>'Sch AL-TOU Cust Fcst'!$E8*'Non-Residential TSM UC Adj'!P9</f>
        <v>25348.133912651909</v>
      </c>
      <c r="Q9" s="45">
        <f>IF(SUM(N9:P9)=0,0,SUM(N9:P9)/'Sch AL-TOU Cust Fcst'!E8)</f>
        <v>3521.5389248506117</v>
      </c>
      <c r="R9" s="137">
        <f t="shared" si="2"/>
        <v>694521.30898921681</v>
      </c>
      <c r="S9" s="23">
        <f t="shared" si="0"/>
        <v>197790.34005754779</v>
      </c>
      <c r="T9" s="23">
        <f t="shared" si="0"/>
        <v>116166.17887614694</v>
      </c>
      <c r="U9" s="45">
        <f>IF(SUM(R9:T9)=0,0,SUM(R9:T9)/'Sch AL-TOU Cust Fcst'!F8)</f>
        <v>2350.7641676524745</v>
      </c>
      <c r="V9" s="37">
        <f>'Sch AL-TOU Cust Fcst'!$G8*'Non-Residential TSM UC Adj'!R9</f>
        <v>0</v>
      </c>
      <c r="W9" s="37">
        <f>'Sch AL-TOU Cust Fcst'!$G8*'Non-Residential TSM UC Adj'!S9</f>
        <v>9389.781938826658</v>
      </c>
      <c r="X9" s="37">
        <f>'Sch AL-TOU Cust Fcst'!$G8*'Non-Residential TSM UC Adj'!T9</f>
        <v>2597.0275508744826</v>
      </c>
      <c r="Y9" s="45">
        <f>IF(SUM(V9:X9)=0,0,SUM(V9:X9)/'Sch AL-TOU Cust Fcst'!G8)</f>
        <v>3995.6031632337131</v>
      </c>
      <c r="Z9" s="37">
        <f>'Sch AL-TOU Cust Fcst'!$H8*'Non-Residential TSM UC Adj'!R9</f>
        <v>0</v>
      </c>
      <c r="AA9" s="37">
        <f>'Sch AL-TOU Cust Fcst'!$H8*'Non-Residential TSM UC Adj'!W9</f>
        <v>0</v>
      </c>
      <c r="AB9" s="37">
        <f>'Sch AL-TOU Cust Fcst'!$H8*'Non-Residential TSM UC Adj'!X9</f>
        <v>0</v>
      </c>
      <c r="AC9" s="45">
        <f>IF(SUM(Z9:AB9)=0,0,SUM(Z9:AB9)/'Sch AL-TOU Cust Fcst'!H8)</f>
        <v>0</v>
      </c>
      <c r="AD9" s="23">
        <f t="shared" si="3"/>
        <v>694521.30898921681</v>
      </c>
      <c r="AE9" s="23">
        <f t="shared" si="1"/>
        <v>207180.12199637445</v>
      </c>
      <c r="AF9" s="23">
        <f t="shared" si="1"/>
        <v>118763.20642702142</v>
      </c>
      <c r="AG9" s="45">
        <f>IF(SUM(AD9:AF9)=0,0,SUM(AD9:AF9)/'Sch AL-TOU Cust Fcst'!I8)</f>
        <v>2362.1866606773442</v>
      </c>
    </row>
    <row r="10" spans="1:33">
      <c r="A10" s="155" t="s">
        <v>124</v>
      </c>
      <c r="B10" s="137">
        <f>'Sch AL-TOU Cust Fcst'!$B9*'Non-Residential TSM UC Adj'!B10</f>
        <v>408170.25600566418</v>
      </c>
      <c r="C10" s="23">
        <f>'Sch AL-TOU Cust Fcst'!$B9*'Non-Residential TSM UC Adj'!C10</f>
        <v>32319.08766054632</v>
      </c>
      <c r="D10" s="23">
        <f>'Sch AL-TOU Cust Fcst'!$B9*'Non-Residential TSM UC Adj'!D10</f>
        <v>43814.049801790286</v>
      </c>
      <c r="E10" s="45">
        <f>IF(SUM(B10:D10)=0,0,SUM(B10:D10)/'Sch AL-TOU Cust Fcst'!B9)</f>
        <v>2589.857719080218</v>
      </c>
      <c r="F10" s="137">
        <f>'Sch AL-TOU Cust Fcst'!$C9*'Non-Residential TSM UC Adj'!F10</f>
        <v>155295.03651634519</v>
      </c>
      <c r="G10" s="23">
        <f>'Sch AL-TOU Cust Fcst'!$C9*'Non-Residential TSM UC Adj'!G10</f>
        <v>23703.633330779572</v>
      </c>
      <c r="H10" s="23">
        <f>'Sch AL-TOU Cust Fcst'!$C9*'Non-Residential TSM UC Adj'!H10</f>
        <v>9958.1954656846774</v>
      </c>
      <c r="I10" s="45">
        <f>IF(SUM(F10:H10)=0,0,SUM(F10:H10)/'Sch AL-TOU Cust Fcst'!C9)</f>
        <v>5725.9656155396806</v>
      </c>
      <c r="J10" s="137">
        <f>'Sch AL-TOU Cust Fcst'!$D9*'Non-Residential TSM UC Adj'!J10</f>
        <v>1543806.6674750736</v>
      </c>
      <c r="K10" s="23">
        <f>'Sch AL-TOU Cust Fcst'!$D9*'Non-Residential TSM UC Adj'!K10</f>
        <v>224107.07876373411</v>
      </c>
      <c r="L10" s="23">
        <f>'Sch AL-TOU Cust Fcst'!$D9*'Non-Residential TSM UC Adj'!L10</f>
        <v>94150.211675564235</v>
      </c>
      <c r="M10" s="45">
        <f>IF(SUM(J10:L10)=0,0,SUM(J10:L10)/'Sch AL-TOU Cust Fcst'!D9)</f>
        <v>5968.1537112640126</v>
      </c>
      <c r="N10" s="137">
        <f>'Sch AL-TOU Cust Fcst'!$E9*'Non-Residential TSM UC Adj'!N10</f>
        <v>671231.40765154315</v>
      </c>
      <c r="O10" s="23">
        <f>'Sch AL-TOU Cust Fcst'!$E9*'Non-Residential TSM UC Adj'!O10</f>
        <v>82603.570698171228</v>
      </c>
      <c r="P10" s="23">
        <f>'Sch AL-TOU Cust Fcst'!$E9*'Non-Residential TSM UC Adj'!P10</f>
        <v>34702.802380416302</v>
      </c>
      <c r="Q10" s="45">
        <f>IF(SUM(N10:P10)=0,0,SUM(N10:P10)/'Sch AL-TOU Cust Fcst'!E9)</f>
        <v>6856.8502672185277</v>
      </c>
      <c r="R10" s="137">
        <f t="shared" si="2"/>
        <v>2778503.3676486262</v>
      </c>
      <c r="S10" s="23">
        <f t="shared" si="0"/>
        <v>362733.37045323121</v>
      </c>
      <c r="T10" s="23">
        <f t="shared" si="0"/>
        <v>182625.25932345551</v>
      </c>
      <c r="U10" s="45">
        <f>IF(SUM(R10:T10)=0,0,SUM(R10:T10)/'Sch AL-TOU Cust Fcst'!F9)</f>
        <v>5137.3446637176394</v>
      </c>
      <c r="V10" s="37">
        <f>'Sch AL-TOU Cust Fcst'!$G9*'Non-Residential TSM UC Adj'!R10</f>
        <v>0</v>
      </c>
      <c r="W10" s="37">
        <f>'Sch AL-TOU Cust Fcst'!$G9*'Non-Residential TSM UC Adj'!S10</f>
        <v>3129.9273129422195</v>
      </c>
      <c r="X10" s="37">
        <f>'Sch AL-TOU Cust Fcst'!$G9*'Non-Residential TSM UC Adj'!T10</f>
        <v>865.67585029149416</v>
      </c>
      <c r="Y10" s="45">
        <f>IF(SUM(V10:X10)=0,0,SUM(V10:X10)/'Sch AL-TOU Cust Fcst'!G9)</f>
        <v>3995.6031632337135</v>
      </c>
      <c r="Z10" s="37">
        <f>'Sch AL-TOU Cust Fcst'!$H9*'Non-Residential TSM UC Adj'!R10</f>
        <v>0</v>
      </c>
      <c r="AA10" s="37">
        <f>'Sch AL-TOU Cust Fcst'!$H9*'Non-Residential TSM UC Adj'!W10</f>
        <v>0</v>
      </c>
      <c r="AB10" s="37">
        <f>'Sch AL-TOU Cust Fcst'!$H9*'Non-Residential TSM UC Adj'!X10</f>
        <v>0</v>
      </c>
      <c r="AC10" s="45">
        <f>IF(SUM(Z10:AB10)=0,0,SUM(Z10:AB10)/'Sch AL-TOU Cust Fcst'!H9)</f>
        <v>0</v>
      </c>
      <c r="AD10" s="23">
        <f t="shared" si="3"/>
        <v>2778503.3676486262</v>
      </c>
      <c r="AE10" s="23">
        <f t="shared" si="1"/>
        <v>365863.29776617343</v>
      </c>
      <c r="AF10" s="23">
        <f t="shared" si="1"/>
        <v>183490.93517374701</v>
      </c>
      <c r="AG10" s="45">
        <f>IF(SUM(AD10:AF10)=0,0,SUM(AD10:AF10)/'Sch AL-TOU Cust Fcst'!I9)</f>
        <v>5135.5827169576332</v>
      </c>
    </row>
    <row r="11" spans="1:33">
      <c r="A11" s="155" t="s">
        <v>116</v>
      </c>
      <c r="B11" s="137">
        <f>'Sch AL-TOU Cust Fcst'!$B10*'Non-Residential TSM UC Adj'!B11</f>
        <v>488931.21575010044</v>
      </c>
      <c r="C11" s="23">
        <f>'Sch AL-TOU Cust Fcst'!$B10*'Non-Residential TSM UC Adj'!C11</f>
        <v>38713.773454344257</v>
      </c>
      <c r="D11" s="23">
        <f>'Sch AL-TOU Cust Fcst'!$B10*'Non-Residential TSM UC Adj'!D11</f>
        <v>52483.139869524195</v>
      </c>
      <c r="E11" s="45">
        <f>IF(SUM(B11:D11)=0,0,SUM(B11:D11)/'Sch AL-TOU Cust Fcst'!B10)</f>
        <v>2589.857719080218</v>
      </c>
      <c r="F11" s="137">
        <f>'Sch AL-TOU Cust Fcst'!$C10*'Non-Residential TSM UC Adj'!F11</f>
        <v>395296.45658706047</v>
      </c>
      <c r="G11" s="23">
        <f>'Sch AL-TOU Cust Fcst'!$C10*'Non-Residential TSM UC Adj'!G11</f>
        <v>60336.521205620724</v>
      </c>
      <c r="H11" s="23">
        <f>'Sch AL-TOU Cust Fcst'!$C10*'Non-Residential TSM UC Adj'!H11</f>
        <v>25348.133912651909</v>
      </c>
      <c r="I11" s="45">
        <f>IF(SUM(F11:H11)=0,0,SUM(F11:H11)/'Sch AL-TOU Cust Fcst'!C10)</f>
        <v>5725.9656155396797</v>
      </c>
      <c r="J11" s="137">
        <f>'Sch AL-TOU Cust Fcst'!$D10*'Non-Residential TSM UC Adj'!J11</f>
        <v>3503253.5915780519</v>
      </c>
      <c r="K11" s="23">
        <f>'Sch AL-TOU Cust Fcst'!$D10*'Non-Residential TSM UC Adj'!K11</f>
        <v>508550.67873308895</v>
      </c>
      <c r="L11" s="23">
        <f>'Sch AL-TOU Cust Fcst'!$D10*'Non-Residential TSM UC Adj'!L11</f>
        <v>213648.55726378036</v>
      </c>
      <c r="M11" s="45">
        <f>IF(SUM(J11:L11)=0,0,SUM(J11:L11)/'Sch AL-TOU Cust Fcst'!D10)</f>
        <v>5968.1537112640126</v>
      </c>
      <c r="N11" s="137">
        <f>'Sch AL-TOU Cust Fcst'!$E10*'Non-Residential TSM UC Adj'!N11</f>
        <v>1038949.483147606</v>
      </c>
      <c r="O11" s="23">
        <f>'Sch AL-TOU Cust Fcst'!$E10*'Non-Residential TSM UC Adj'!O11</f>
        <v>127855.96160238677</v>
      </c>
      <c r="P11" s="23">
        <f>'Sch AL-TOU Cust Fcst'!$E10*'Non-Residential TSM UC Adj'!P11</f>
        <v>53713.902814905232</v>
      </c>
      <c r="Q11" s="45">
        <f>IF(SUM(N11:P11)=0,0,SUM(N11:P11)/'Sch AL-TOU Cust Fcst'!E10)</f>
        <v>6856.8502672185277</v>
      </c>
      <c r="R11" s="137">
        <f t="shared" si="2"/>
        <v>5426430.7470628191</v>
      </c>
      <c r="S11" s="23">
        <f t="shared" si="0"/>
        <v>735456.93499544077</v>
      </c>
      <c r="T11" s="23">
        <f t="shared" si="0"/>
        <v>345193.73386086168</v>
      </c>
      <c r="U11" s="45">
        <f>IF(SUM(R11:T11)=0,0,SUM(R11:T11)/'Sch AL-TOU Cust Fcst'!F10)</f>
        <v>5449.8169312555456</v>
      </c>
      <c r="V11" s="37">
        <f>'Sch AL-TOU Cust Fcst'!$G10*'Non-Residential TSM UC Adj'!R11</f>
        <v>0</v>
      </c>
      <c r="W11" s="37">
        <f>'Sch AL-TOU Cust Fcst'!$G10*'Non-Residential TSM UC Adj'!S11</f>
        <v>9389.781938826658</v>
      </c>
      <c r="X11" s="37">
        <f>'Sch AL-TOU Cust Fcst'!$G10*'Non-Residential TSM UC Adj'!T11</f>
        <v>2597.0275508744826</v>
      </c>
      <c r="Y11" s="45">
        <f>IF(SUM(V11:X11)=0,0,SUM(V11:X11)/'Sch AL-TOU Cust Fcst'!G10)</f>
        <v>3995.6031632337131</v>
      </c>
      <c r="Z11" s="37">
        <f>'Sch AL-TOU Cust Fcst'!$H10*'Non-Residential TSM UC Adj'!R11</f>
        <v>0</v>
      </c>
      <c r="AA11" s="37">
        <f>'Sch AL-TOU Cust Fcst'!$H10*'Non-Residential TSM UC Adj'!W11</f>
        <v>0</v>
      </c>
      <c r="AB11" s="37">
        <f>'Sch AL-TOU Cust Fcst'!$H10*'Non-Residential TSM UC Adj'!X11</f>
        <v>0</v>
      </c>
      <c r="AC11" s="45">
        <f>IF(SUM(Z11:AB11)=0,0,SUM(Z11:AB11)/'Sch AL-TOU Cust Fcst'!H10)</f>
        <v>0</v>
      </c>
      <c r="AD11" s="23">
        <f t="shared" si="3"/>
        <v>5426430.7470628191</v>
      </c>
      <c r="AE11" s="23">
        <f t="shared" si="1"/>
        <v>744846.71693426743</v>
      </c>
      <c r="AF11" s="23">
        <f t="shared" si="1"/>
        <v>347790.7614117362</v>
      </c>
      <c r="AG11" s="45">
        <f>IF(SUM(AD11:AF11)=0,0,SUM(AD11:AF11)/'Sch AL-TOU Cust Fcst'!I10)</f>
        <v>5446.172285220403</v>
      </c>
    </row>
    <row r="12" spans="1:33">
      <c r="A12" s="155" t="s">
        <v>8</v>
      </c>
      <c r="B12" s="137">
        <f>'Sch AL-TOU Cust Fcst'!$B11*'Non-Residential TSM UC Adj'!B12</f>
        <v>2612382.1311459513</v>
      </c>
      <c r="C12" s="23">
        <f>'Sch AL-TOU Cust Fcst'!$B11*'Non-Residential TSM UC Adj'!C12</f>
        <v>232084.03750798691</v>
      </c>
      <c r="D12" s="23">
        <f>'Sch AL-TOU Cust Fcst'!$B11*'Non-Residential TSM UC Adj'!D12</f>
        <v>130504.95047912936</v>
      </c>
      <c r="E12" s="45">
        <f>IF(SUM(B12:D12)=0,0,SUM(B12:D12)/'Sch AL-TOU Cust Fcst'!B11)</f>
        <v>5341.0612551760642</v>
      </c>
      <c r="F12" s="137">
        <f>'Sch AL-TOU Cust Fcst'!$C11*'Non-Residential TSM UC Adj'!F12</f>
        <v>7722398.6340400744</v>
      </c>
      <c r="G12" s="23">
        <f>'Sch AL-TOU Cust Fcst'!$C11*'Non-Residential TSM UC Adj'!G12</f>
        <v>511573.60360683262</v>
      </c>
      <c r="H12" s="23">
        <f>'Sch AL-TOU Cust Fcst'!$C11*'Non-Residential TSM UC Adj'!H12</f>
        <v>165064.63393119755</v>
      </c>
      <c r="I12" s="45">
        <f>IF(SUM(F12:H12)=0,0,SUM(F12:H12)/'Sch AL-TOU Cust Fcst'!C11)</f>
        <v>15354.729198497449</v>
      </c>
      <c r="J12" s="137">
        <f>'Sch AL-TOU Cust Fcst'!$D11*'Non-Residential TSM UC Adj'!J12</f>
        <v>58753719.133330204</v>
      </c>
      <c r="K12" s="23">
        <f>'Sch AL-TOU Cust Fcst'!$D11*'Non-Residential TSM UC Adj'!K12</f>
        <v>3701660.5540691838</v>
      </c>
      <c r="L12" s="23">
        <f>'Sch AL-TOU Cust Fcst'!$D11*'Non-Residential TSM UC Adj'!L12</f>
        <v>1194379.928884241</v>
      </c>
      <c r="M12" s="45">
        <f>IF(SUM(J12:L12)=0,0,SUM(J12:L12)/'Sch AL-TOU Cust Fcst'!D11)</f>
        <v>16081.293485670447</v>
      </c>
      <c r="N12" s="137">
        <f>'Sch AL-TOU Cust Fcst'!$E11*'Non-Residential TSM UC Adj'!N12</f>
        <v>6881581.127140604</v>
      </c>
      <c r="O12" s="23">
        <f>'Sch AL-TOU Cust Fcst'!$E11*'Non-Residential TSM UC Adj'!O12</f>
        <v>1102642.1913207599</v>
      </c>
      <c r="P12" s="23">
        <f>'Sch AL-TOU Cust Fcst'!$E11*'Non-Residential TSM UC Adj'!P12</f>
        <v>355779.16527400713</v>
      </c>
      <c r="Q12" s="45">
        <f>IF(SUM(N12:P12)=0,0,SUM(N12:P12)/'Sch AL-TOU Cust Fcst'!E11)</f>
        <v>7073.7934552462866</v>
      </c>
      <c r="R12" s="137">
        <f t="shared" si="2"/>
        <v>75970081.025656849</v>
      </c>
      <c r="S12" s="23">
        <f t="shared" si="0"/>
        <v>5547960.3865047637</v>
      </c>
      <c r="T12" s="23">
        <f t="shared" si="0"/>
        <v>1845728.6785685751</v>
      </c>
      <c r="U12" s="45">
        <f>IF(SUM(R12:T12)=0,0,SUM(R12:T12)/'Sch AL-TOU Cust Fcst'!F11)</f>
        <v>13357.437925129016</v>
      </c>
      <c r="V12" s="37">
        <f>'Sch AL-TOU Cust Fcst'!$G11*'Non-Residential TSM UC Adj'!R12</f>
        <v>0</v>
      </c>
      <c r="W12" s="37">
        <f>'Sch AL-TOU Cust Fcst'!$G11*'Non-Residential TSM UC Adj'!S12</f>
        <v>21909.491190595538</v>
      </c>
      <c r="X12" s="37">
        <f>'Sch AL-TOU Cust Fcst'!$G11*'Non-Residential TSM UC Adj'!T12</f>
        <v>6059.7309520404588</v>
      </c>
      <c r="Y12" s="45">
        <f>IF(SUM(V12:X12)=0,0,SUM(V12:X12)/'Sch AL-TOU Cust Fcst'!G11)</f>
        <v>3995.603163233714</v>
      </c>
      <c r="Z12" s="37">
        <f>'Sch AL-TOU Cust Fcst'!$H11*'Non-Residential TSM UC Adj'!R12</f>
        <v>0</v>
      </c>
      <c r="AA12" s="37">
        <f>'Sch AL-TOU Cust Fcst'!$H11*'Non-Residential TSM UC Adj'!W12</f>
        <v>0</v>
      </c>
      <c r="AB12" s="37">
        <f>'Sch AL-TOU Cust Fcst'!$H11*'Non-Residential TSM UC Adj'!X12</f>
        <v>0</v>
      </c>
      <c r="AC12" s="45">
        <f>IF(SUM(Z12:AB12)=0,0,SUM(Z12:AB12)/'Sch AL-TOU Cust Fcst'!H11)</f>
        <v>0</v>
      </c>
      <c r="AD12" s="23">
        <f t="shared" si="3"/>
        <v>75970081.025656849</v>
      </c>
      <c r="AE12" s="23">
        <f t="shared" si="1"/>
        <v>5569869.8776953593</v>
      </c>
      <c r="AF12" s="23">
        <f t="shared" si="1"/>
        <v>1851788.4095206156</v>
      </c>
      <c r="AG12" s="45">
        <f>IF(SUM(AD12:AF12)=0,0,SUM(AD12:AF12)/'Sch AL-TOU Cust Fcst'!I11)</f>
        <v>13346.949313840079</v>
      </c>
    </row>
    <row r="13" spans="1:33">
      <c r="A13" s="155" t="s">
        <v>9</v>
      </c>
      <c r="B13" s="137">
        <f>'Sch AL-TOU Cust Fcst'!$B12*'Non-Residential TSM UC Adj'!B13</f>
        <v>401706.30856021948</v>
      </c>
      <c r="C13" s="23">
        <f>'Sch AL-TOU Cust Fcst'!$B12*'Non-Residential TSM UC Adj'!C13</f>
        <v>52361.479840806773</v>
      </c>
      <c r="D13" s="23">
        <f>'Sch AL-TOU Cust Fcst'!$B12*'Non-Residential TSM UC Adj'!D13</f>
        <v>18275.379061709318</v>
      </c>
      <c r="E13" s="45">
        <f>IF(SUM(B13:D13)=0,0,SUM(B13:D13)/'Sch AL-TOU Cust Fcst'!B12)</f>
        <v>6055.6816341376361</v>
      </c>
      <c r="F13" s="137">
        <f>'Sch AL-TOU Cust Fcst'!$C12*'Non-Residential TSM UC Adj'!F13</f>
        <v>2272954.6253755977</v>
      </c>
      <c r="G13" s="23">
        <f>'Sch AL-TOU Cust Fcst'!$C12*'Non-Residential TSM UC Adj'!G13</f>
        <v>231928.53950929258</v>
      </c>
      <c r="H13" s="23">
        <f>'Sch AL-TOU Cust Fcst'!$C12*'Non-Residential TSM UC Adj'!H13</f>
        <v>48583.923332582825</v>
      </c>
      <c r="I13" s="45">
        <f>IF(SUM(F13:H13)=0,0,SUM(F13:H13)/'Sch AL-TOU Cust Fcst'!C12)</f>
        <v>15860.044026195485</v>
      </c>
      <c r="J13" s="137">
        <f>'Sch AL-TOU Cust Fcst'!$D12*'Non-Residential TSM UC Adj'!J13</f>
        <v>27536167.001598667</v>
      </c>
      <c r="K13" s="23">
        <f>'Sch AL-TOU Cust Fcst'!$D12*'Non-Residential TSM UC Adj'!K13</f>
        <v>2672220.1291288058</v>
      </c>
      <c r="L13" s="23">
        <f>'Sch AL-TOU Cust Fcst'!$D12*'Non-Residential TSM UC Adj'!L13</f>
        <v>559771.29057106294</v>
      </c>
      <c r="M13" s="45">
        <f>IF(SUM(J13:L13)=0,0,SUM(J13:L13)/'Sch AL-TOU Cust Fcst'!D12)</f>
        <v>16586.608313368484</v>
      </c>
      <c r="N13" s="137">
        <f>'Sch AL-TOU Cust Fcst'!$E12*'Non-Residential TSM UC Adj'!N13</f>
        <v>6776518.8198560141</v>
      </c>
      <c r="O13" s="23">
        <f>'Sch AL-TOU Cust Fcst'!$E12*'Non-Residential TSM UC Adj'!O13</f>
        <v>723871.9729281324</v>
      </c>
      <c r="P13" s="23">
        <f>'Sch AL-TOU Cust Fcst'!$E12*'Non-Residential TSM UC Adj'!P13</f>
        <v>233564.94819514971</v>
      </c>
      <c r="Q13" s="45">
        <f>IF(SUM(N13:P13)=0,0,SUM(N13:P13)/'Sch AL-TOU Cust Fcst'!E12)</f>
        <v>9992.1908798182139</v>
      </c>
      <c r="R13" s="137">
        <f t="shared" si="2"/>
        <v>36987346.755390495</v>
      </c>
      <c r="S13" s="23">
        <f t="shared" si="0"/>
        <v>3680382.1214070376</v>
      </c>
      <c r="T13" s="23">
        <f t="shared" si="0"/>
        <v>860195.5411605048</v>
      </c>
      <c r="U13" s="45">
        <f>IF(SUM(R13:T13)=0,0,SUM(R13:T13)/'Sch AL-TOU Cust Fcst'!F12)</f>
        <v>14479.750494406568</v>
      </c>
      <c r="V13" s="37">
        <f>'Sch AL-TOU Cust Fcst'!$G12*'Non-Residential TSM UC Adj'!R13</f>
        <v>0</v>
      </c>
      <c r="W13" s="37">
        <f>'Sch AL-TOU Cust Fcst'!$G12*'Non-Residential TSM UC Adj'!S13</f>
        <v>25039.418503537756</v>
      </c>
      <c r="X13" s="37">
        <f>'Sch AL-TOU Cust Fcst'!$G12*'Non-Residential TSM UC Adj'!T13</f>
        <v>6925.4068023319533</v>
      </c>
      <c r="Y13" s="45">
        <f>IF(SUM(V13:X13)=0,0,SUM(V13:X13)/'Sch AL-TOU Cust Fcst'!G12)</f>
        <v>3995.6031632337135</v>
      </c>
      <c r="Z13" s="37">
        <f>'Sch AL-TOU Cust Fcst'!$H12*'Non-Residential TSM UC Adj'!R13</f>
        <v>0</v>
      </c>
      <c r="AA13" s="37">
        <f>'Sch AL-TOU Cust Fcst'!$H12*'Non-Residential TSM UC Adj'!W13</f>
        <v>0</v>
      </c>
      <c r="AB13" s="37">
        <f>'Sch AL-TOU Cust Fcst'!$H12*'Non-Residential TSM UC Adj'!X13</f>
        <v>0</v>
      </c>
      <c r="AC13" s="45">
        <f>IF(SUM(Z13:AB13)=0,0,SUM(Z13:AB13)/'Sch AL-TOU Cust Fcst'!H12)</f>
        <v>0</v>
      </c>
      <c r="AD13" s="23">
        <f t="shared" si="3"/>
        <v>36987346.755390495</v>
      </c>
      <c r="AE13" s="23">
        <f t="shared" si="1"/>
        <v>3705421.5399105754</v>
      </c>
      <c r="AF13" s="23">
        <f t="shared" si="1"/>
        <v>867120.94796283671</v>
      </c>
      <c r="AG13" s="45">
        <f>IF(SUM(AD13:AF13)=0,0,SUM(AD13:AF13)/'Sch AL-TOU Cust Fcst'!I12)</f>
        <v>14450.587358575767</v>
      </c>
    </row>
    <row r="14" spans="1:33">
      <c r="A14" s="155" t="s">
        <v>10</v>
      </c>
      <c r="B14" s="137">
        <f>'Sch AL-TOU Cust Fcst'!$B13*'Non-Residential TSM UC Adj'!B14</f>
        <v>103660.33774878913</v>
      </c>
      <c r="C14" s="23">
        <f>'Sch AL-TOU Cust Fcst'!$B13*'Non-Residential TSM UC Adj'!C14</f>
        <v>26803.821388392425</v>
      </c>
      <c r="D14" s="23">
        <f>'Sch AL-TOU Cust Fcst'!$B13*'Non-Residential TSM UC Adj'!D14</f>
        <v>4920.2943627678933</v>
      </c>
      <c r="E14" s="45">
        <f>IF(SUM(B14:D14)=0,0,SUM(B14:D14)/'Sch AL-TOU Cust Fcst'!B13)</f>
        <v>6446.8787380928306</v>
      </c>
      <c r="F14" s="137">
        <f>'Sch AL-TOU Cust Fcst'!$C13*'Non-Residential TSM UC Adj'!F14</f>
        <v>375263.70530937135</v>
      </c>
      <c r="G14" s="23">
        <f>'Sch AL-TOU Cust Fcst'!$C13*'Non-Residential TSM UC Adj'!G14</f>
        <v>64824.7470678147</v>
      </c>
      <c r="H14" s="23">
        <f>'Sch AL-TOU Cust Fcst'!$C13*'Non-Residential TSM UC Adj'!H14</f>
        <v>13579.357453206379</v>
      </c>
      <c r="I14" s="45">
        <f>IF(SUM(F14:H14)=0,0,SUM(F14:H14)/'Sch AL-TOU Cust Fcst'!C13)</f>
        <v>10081.506885119832</v>
      </c>
      <c r="J14" s="137">
        <f>'Sch AL-TOU Cust Fcst'!$D13*'Non-Residential TSM UC Adj'!J14</f>
        <v>7806565.5793955745</v>
      </c>
      <c r="K14" s="23">
        <f>'Sch AL-TOU Cust Fcst'!$D13*'Non-Residential TSM UC Adj'!K14</f>
        <v>1308019.3408350165</v>
      </c>
      <c r="L14" s="23">
        <f>'Sch AL-TOU Cust Fcst'!$D13*'Non-Residential TSM UC Adj'!L14</f>
        <v>274001.25705580873</v>
      </c>
      <c r="M14" s="45">
        <f>IF(SUM(J14:L14)=0,0,SUM(J14:L14)/'Sch AL-TOU Cust Fcst'!D13)</f>
        <v>10339.852618156827</v>
      </c>
      <c r="N14" s="137">
        <f>'Sch AL-TOU Cust Fcst'!$E13*'Non-Residential TSM UC Adj'!N14</f>
        <v>5069256.3264814364</v>
      </c>
      <c r="O14" s="23">
        <f>'Sch AL-TOU Cust Fcst'!$E13*'Non-Residential TSM UC Adj'!O14</f>
        <v>834078.41227254912</v>
      </c>
      <c r="P14" s="23">
        <f>'Sch AL-TOU Cust Fcst'!$E13*'Non-Residential TSM UC Adj'!P14</f>
        <v>174721.06589792209</v>
      </c>
      <c r="Q14" s="45">
        <f>IF(SUM(N14:P14)=0,0,SUM(N14:P14)/'Sch AL-TOU Cust Fcst'!E13)</f>
        <v>10497.505707516248</v>
      </c>
      <c r="R14" s="137">
        <f t="shared" si="2"/>
        <v>13354745.948935172</v>
      </c>
      <c r="S14" s="23">
        <f t="shared" si="0"/>
        <v>2233726.3215637729</v>
      </c>
      <c r="T14" s="23">
        <f t="shared" si="0"/>
        <v>467221.97476970509</v>
      </c>
      <c r="U14" s="45">
        <f>IF(SUM(R14:T14)=0,0,SUM(R14:T14)/'Sch AL-TOU Cust Fcst'!F13)</f>
        <v>10338.502411634676</v>
      </c>
      <c r="V14" s="37">
        <f>'Sch AL-TOU Cust Fcst'!$G13*'Non-Residential TSM UC Adj'!R14</f>
        <v>0</v>
      </c>
      <c r="W14" s="37">
        <f>'Sch AL-TOU Cust Fcst'!$G13*'Non-Residential TSM UC Adj'!S14</f>
        <v>15649.636564711098</v>
      </c>
      <c r="X14" s="37">
        <f>'Sch AL-TOU Cust Fcst'!$G13*'Non-Residential TSM UC Adj'!T14</f>
        <v>4328.3792514574707</v>
      </c>
      <c r="Y14" s="45">
        <f>IF(SUM(V14:X14)=0,0,SUM(V14:X14)/'Sch AL-TOU Cust Fcst'!G13)</f>
        <v>3995.6031632337135</v>
      </c>
      <c r="Z14" s="37">
        <f>'Sch AL-TOU Cust Fcst'!$H13*'Non-Residential TSM UC Adj'!R14</f>
        <v>0</v>
      </c>
      <c r="AA14" s="37">
        <f>'Sch AL-TOU Cust Fcst'!$H13*'Non-Residential TSM UC Adj'!W14</f>
        <v>58921.458906063985</v>
      </c>
      <c r="AB14" s="37">
        <f>'Sch AL-TOU Cust Fcst'!$H13*'Non-Residential TSM UC Adj'!X14</f>
        <v>967.82163835260417</v>
      </c>
      <c r="AC14" s="45">
        <f>IF(SUM(Z14:AB14)=0,0,SUM(Z14:AB14)/'Sch AL-TOU Cust Fcst'!H13)</f>
        <v>59889.280544416586</v>
      </c>
      <c r="AD14" s="23">
        <f t="shared" si="3"/>
        <v>13354745.948935172</v>
      </c>
      <c r="AE14" s="23">
        <f t="shared" si="1"/>
        <v>2308297.4170345478</v>
      </c>
      <c r="AF14" s="23">
        <f t="shared" si="1"/>
        <v>472518.17565951514</v>
      </c>
      <c r="AG14" s="45">
        <f>IF(SUM(AD14:AF14)=0,0,SUM(AD14:AF14)/'Sch AL-TOU Cust Fcst'!I13)</f>
        <v>10349.943259544089</v>
      </c>
    </row>
    <row r="15" spans="1:33">
      <c r="A15" s="155" t="s">
        <v>11</v>
      </c>
      <c r="B15" s="137">
        <f>'Sch AL-TOU Cust Fcst'!$B14*'Non-Residential TSM UC Adj'!B15</f>
        <v>9872.4131189322979</v>
      </c>
      <c r="C15" s="23">
        <f>'Sch AL-TOU Cust Fcst'!$B14*'Non-Residential TSM UC Adj'!C15</f>
        <v>3762.8877410650498</v>
      </c>
      <c r="D15" s="23">
        <f>'Sch AL-TOU Cust Fcst'!$B14*'Non-Residential TSM UC Adj'!D15</f>
        <v>468.59946312075175</v>
      </c>
      <c r="E15" s="45">
        <f>IF(SUM(B15:D15)=0,0,SUM(B15:D15)/'Sch AL-TOU Cust Fcst'!B14)</f>
        <v>7051.9501615590498</v>
      </c>
      <c r="F15" s="137">
        <f>'Sch AL-TOU Cust Fcst'!$C14*'Non-Residential TSM UC Adj'!F15</f>
        <v>200140.64283166471</v>
      </c>
      <c r="G15" s="23">
        <f>'Sch AL-TOU Cust Fcst'!$C14*'Non-Residential TSM UC Adj'!G15</f>
        <v>69146.396872335681</v>
      </c>
      <c r="H15" s="23">
        <f>'Sch AL-TOU Cust Fcst'!$C14*'Non-Residential TSM UC Adj'!H15</f>
        <v>20776.220406995861</v>
      </c>
      <c r="I15" s="45">
        <f>IF(SUM(F15:H15)=0,0,SUM(F15:H15)/'Sch AL-TOU Cust Fcst'!C14)</f>
        <v>12085.96917129151</v>
      </c>
      <c r="J15" s="137">
        <f>'Sch AL-TOU Cust Fcst'!$D14*'Non-Residential TSM UC Adj'!J15</f>
        <v>13738867.616601462</v>
      </c>
      <c r="K15" s="23">
        <f>'Sch AL-TOU Cust Fcst'!$D14*'Non-Residential TSM UC Adj'!K15</f>
        <v>2301998.795874842</v>
      </c>
      <c r="L15" s="23">
        <f>'Sch AL-TOU Cust Fcst'!$D14*'Non-Residential TSM UC Adj'!L15</f>
        <v>691675.0043829038</v>
      </c>
      <c r="M15" s="45">
        <f>IF(SUM(J15:L15)=0,0,SUM(J15:L15)/'Sch AL-TOU Cust Fcst'!D14)</f>
        <v>20941.854088684864</v>
      </c>
      <c r="N15" s="137">
        <f>'Sch AL-TOU Cust Fcst'!$E14*'Non-Residential TSM UC Adj'!N15</f>
        <v>13220340.333310828</v>
      </c>
      <c r="O15" s="23">
        <f>'Sch AL-TOU Cust Fcst'!$E14*'Non-Residential TSM UC Adj'!O15</f>
        <v>1087615.2008044466</v>
      </c>
      <c r="P15" s="23">
        <f>'Sch AL-TOU Cust Fcst'!$E14*'Non-Residential TSM UC Adj'!P15</f>
        <v>653585.26697007811</v>
      </c>
      <c r="Q15" s="45">
        <f>IF(SUM(N15:P15)=0,0,SUM(N15:P15)/'Sch AL-TOU Cust Fcst'!E14)</f>
        <v>19816.610332563378</v>
      </c>
      <c r="R15" s="137">
        <f t="shared" si="2"/>
        <v>27169221.005862884</v>
      </c>
      <c r="S15" s="23">
        <f t="shared" si="0"/>
        <v>3462523.281292689</v>
      </c>
      <c r="T15" s="23">
        <f t="shared" si="0"/>
        <v>1366505.0912230986</v>
      </c>
      <c r="U15" s="45">
        <f>IF(SUM(R15:T15)=0,0,SUM(R15:T15)/'Sch AL-TOU Cust Fcst'!F14)</f>
        <v>20252.056568594096</v>
      </c>
      <c r="V15" s="37">
        <f>'Sch AL-TOU Cust Fcst'!$G14*'Non-Residential TSM UC Adj'!R15</f>
        <v>0</v>
      </c>
      <c r="W15" s="37">
        <f>'Sch AL-TOU Cust Fcst'!$G14*'Non-Residential TSM UC Adj'!S15</f>
        <v>59468.61894590217</v>
      </c>
      <c r="X15" s="37">
        <f>'Sch AL-TOU Cust Fcst'!$G14*'Non-Residential TSM UC Adj'!T15</f>
        <v>18388.611128699478</v>
      </c>
      <c r="Y15" s="45">
        <f>IF(SUM(V15:X15)=0,0,SUM(V15:X15)/'Sch AL-TOU Cust Fcst'!G14)</f>
        <v>4097.7489512948241</v>
      </c>
      <c r="Z15" s="37">
        <f>'Sch AL-TOU Cust Fcst'!$H14*'Non-Residential TSM UC Adj'!R15</f>
        <v>0</v>
      </c>
      <c r="AA15" s="37">
        <f>'Sch AL-TOU Cust Fcst'!$H14*'Non-Residential TSM UC Adj'!W15</f>
        <v>235685.83562425594</v>
      </c>
      <c r="AB15" s="37">
        <f>'Sch AL-TOU Cust Fcst'!$H14*'Non-Residential TSM UC Adj'!X15</f>
        <v>3871.2865534104167</v>
      </c>
      <c r="AC15" s="45">
        <f>IF(SUM(Z15:AB15)=0,0,SUM(Z15:AB15)/'Sch AL-TOU Cust Fcst'!H14)</f>
        <v>59889.280544416586</v>
      </c>
      <c r="AD15" s="23">
        <f t="shared" si="3"/>
        <v>27169221.005862884</v>
      </c>
      <c r="AE15" s="23">
        <f t="shared" si="1"/>
        <v>3757677.7358628474</v>
      </c>
      <c r="AF15" s="23">
        <f t="shared" si="1"/>
        <v>1388764.9889052084</v>
      </c>
      <c r="AG15" s="45">
        <f>IF(SUM(AD15:AF15)=0,0,SUM(AD15:AF15)/'Sch AL-TOU Cust Fcst'!I14)</f>
        <v>20159.490786419803</v>
      </c>
    </row>
    <row r="16" spans="1:33">
      <c r="A16" s="155" t="s">
        <v>120</v>
      </c>
      <c r="B16" s="137">
        <f>'Sch AL-TOU Cust Fcst'!$B15*'Non-Residential TSM UC Adj'!B16</f>
        <v>0</v>
      </c>
      <c r="C16" s="23">
        <f>'Sch AL-TOU Cust Fcst'!$B15*'Non-Residential TSM UC Adj'!C16</f>
        <v>0</v>
      </c>
      <c r="D16" s="23">
        <f>'Sch AL-TOU Cust Fcst'!$B15*'Non-Residential TSM UC Adj'!D16</f>
        <v>0</v>
      </c>
      <c r="E16" s="45">
        <f>IF(SUM(B16:D16)=0,0,SUM(B16:D16)/'Sch AL-TOU Cust Fcst'!B15)</f>
        <v>0</v>
      </c>
      <c r="F16" s="137">
        <f>'Sch AL-TOU Cust Fcst'!$C15*'Non-Residential TSM UC Adj'!F16</f>
        <v>150105.48212374852</v>
      </c>
      <c r="G16" s="23">
        <f>'Sch AL-TOU Cust Fcst'!$C15*'Non-Residential TSM UC Adj'!G16</f>
        <v>34932.425543320343</v>
      </c>
      <c r="H16" s="23">
        <f>'Sch AL-TOU Cust Fcst'!$C15*'Non-Residential TSM UC Adj'!H16</f>
        <v>7791.0826526234478</v>
      </c>
      <c r="I16" s="45">
        <f>IF(SUM(F16:H16)=0,0,SUM(F16:H16)/'Sch AL-TOU Cust Fcst'!C15)</f>
        <v>21425.4433688547</v>
      </c>
      <c r="J16" s="137">
        <f>'Sch AL-TOU Cust Fcst'!$D15*'Non-Residential TSM UC Adj'!J16</f>
        <v>2838457.6023782389</v>
      </c>
      <c r="K16" s="23">
        <f>'Sch AL-TOU Cust Fcst'!$D15*'Non-Residential TSM UC Adj'!K16</f>
        <v>1137244.5204658734</v>
      </c>
      <c r="L16" s="23">
        <f>'Sch AL-TOU Cust Fcst'!$D15*'Non-Residential TSM UC Adj'!L16</f>
        <v>253643.02413540779</v>
      </c>
      <c r="M16" s="45">
        <f>IF(SUM(J16:L16)=0,0,SUM(J16:L16)/'Sch AL-TOU Cust Fcst'!D15)</f>
        <v>14434.625075015427</v>
      </c>
      <c r="N16" s="137">
        <f>'Sch AL-TOU Cust Fcst'!$E15*'Non-Residential TSM UC Adj'!N16</f>
        <v>4732496.778933242</v>
      </c>
      <c r="O16" s="23">
        <f>'Sch AL-TOU Cust Fcst'!$E15*'Non-Residential TSM UC Adj'!O16</f>
        <v>1001396.1989085166</v>
      </c>
      <c r="P16" s="23">
        <f>'Sch AL-TOU Cust Fcst'!$E15*'Non-Residential TSM UC Adj'!P16</f>
        <v>446688.73875041096</v>
      </c>
      <c r="Q16" s="45">
        <f>IF(SUM(N16:P16)=0,0,SUM(N16:P16)/'Sch AL-TOU Cust Fcst'!E15)</f>
        <v>11977.871543783274</v>
      </c>
      <c r="R16" s="137">
        <f t="shared" si="2"/>
        <v>7721059.8634352293</v>
      </c>
      <c r="S16" s="23">
        <f t="shared" si="0"/>
        <v>2173573.1449177102</v>
      </c>
      <c r="T16" s="23">
        <f t="shared" si="0"/>
        <v>708122.84553844226</v>
      </c>
      <c r="U16" s="45">
        <f>IF(SUM(R16:T16)=0,0,SUM(R16:T16)/'Sch AL-TOU Cust Fcst'!F15)</f>
        <v>12961.804222361103</v>
      </c>
      <c r="V16" s="37">
        <f>'Sch AL-TOU Cust Fcst'!$G15*'Non-Residential TSM UC Adj'!R16</f>
        <v>0</v>
      </c>
      <c r="W16" s="37">
        <f>'Sch AL-TOU Cust Fcst'!$G15*'Non-Residential TSM UC Adj'!S16</f>
        <v>71988.328197671042</v>
      </c>
      <c r="X16" s="37">
        <f>'Sch AL-TOU Cust Fcst'!$G15*'Non-Residential TSM UC Adj'!T16</f>
        <v>22259.897682109895</v>
      </c>
      <c r="Y16" s="45">
        <f>IF(SUM(V16:X16)=0,0,SUM(V16:X16)/'Sch AL-TOU Cust Fcst'!G15)</f>
        <v>4097.7489512948232</v>
      </c>
      <c r="Z16" s="37">
        <f>'Sch AL-TOU Cust Fcst'!$H15*'Non-Residential TSM UC Adj'!R16</f>
        <v>0</v>
      </c>
      <c r="AA16" s="37">
        <f>'Sch AL-TOU Cust Fcst'!$H15*'Non-Residential TSM UC Adj'!W16</f>
        <v>0</v>
      </c>
      <c r="AB16" s="37">
        <f>'Sch AL-TOU Cust Fcst'!$H15*'Non-Residential TSM UC Adj'!X16</f>
        <v>0</v>
      </c>
      <c r="AC16" s="45">
        <f>IF(SUM(Z16:AB16)=0,0,SUM(Z16:AB16)/'Sch AL-TOU Cust Fcst'!H15)</f>
        <v>0</v>
      </c>
      <c r="AD16" s="23">
        <f t="shared" si="3"/>
        <v>7721059.8634352293</v>
      </c>
      <c r="AE16" s="23">
        <f t="shared" si="1"/>
        <v>2245561.4731153813</v>
      </c>
      <c r="AF16" s="23">
        <f t="shared" si="1"/>
        <v>730382.7432205521</v>
      </c>
      <c r="AG16" s="45">
        <f>IF(SUM(AD16:AF16)=0,0,SUM(AD16:AF16)/'Sch AL-TOU Cust Fcst'!I15)</f>
        <v>12719.38653956143</v>
      </c>
    </row>
    <row r="17" spans="1:33">
      <c r="A17" s="155" t="s">
        <v>121</v>
      </c>
      <c r="B17" s="137">
        <f>'Sch AL-TOU Cust Fcst'!$B16*'Non-Residential TSM UC Adj'!J17</f>
        <v>0</v>
      </c>
      <c r="C17" s="23">
        <f>'Sch AL-TOU Cust Fcst'!$B16*'Non-Residential TSM UC Adj'!K17</f>
        <v>0</v>
      </c>
      <c r="D17" s="23">
        <f>'Sch AL-TOU Cust Fcst'!$B16*'Non-Residential TSM UC Adj'!L17</f>
        <v>0</v>
      </c>
      <c r="E17" s="45">
        <f>IF(SUM(B17:D17)=0,0,SUM(B17:D17)/'Sch AL-TOU Cust Fcst'!B16)</f>
        <v>0</v>
      </c>
      <c r="F17" s="137">
        <f>'Sch AL-TOU Cust Fcst'!$C16*'Non-Residential TSM UC Adj'!F17</f>
        <v>33356.773805277451</v>
      </c>
      <c r="G17" s="23">
        <f>'Sch AL-TOU Cust Fcst'!$C16*'Non-Residential TSM UC Adj'!G17</f>
        <v>7762.7612318489655</v>
      </c>
      <c r="H17" s="23">
        <f>'Sch AL-TOU Cust Fcst'!$C16*'Non-Residential TSM UC Adj'!H17</f>
        <v>1731.3517005829883</v>
      </c>
      <c r="I17" s="45">
        <f>IF(SUM(F17:H17)=0,0,SUM(F17:H17)/'Sch AL-TOU Cust Fcst'!C16)</f>
        <v>21425.4433688547</v>
      </c>
      <c r="J17" s="137">
        <f>'Sch AL-TOU Cust Fcst'!$D16*'Non-Residential TSM UC Adj'!J17</f>
        <v>1114070.3900119369</v>
      </c>
      <c r="K17" s="23">
        <f>'Sch AL-TOU Cust Fcst'!$D16*'Non-Residential TSM UC Adj'!K17</f>
        <v>446358.77083131555</v>
      </c>
      <c r="L17" s="23">
        <f>'Sch AL-TOU Cust Fcst'!$D16*'Non-Residential TSM UC Adj'!L17</f>
        <v>99552.722783521822</v>
      </c>
      <c r="M17" s="45">
        <f>IF(SUM(J17:L17)=0,0,SUM(J17:L17)/'Sch AL-TOU Cust Fcst'!D16)</f>
        <v>14434.625075015429</v>
      </c>
      <c r="N17" s="137">
        <f>'Sch AL-TOU Cust Fcst'!$E16*'Non-Residential TSM UC Adj'!N17</f>
        <v>3054111.2933813366</v>
      </c>
      <c r="O17" s="23">
        <f>'Sch AL-TOU Cust Fcst'!$E16*'Non-Residential TSM UC Adj'!O17</f>
        <v>646249.87255142641</v>
      </c>
      <c r="P17" s="23">
        <f>'Sch AL-TOU Cust Fcst'!$E16*'Non-Residential TSM UC Adj'!P17</f>
        <v>288270.05814706755</v>
      </c>
      <c r="Q17" s="45">
        <f>IF(SUM(N17:P17)=0,0,SUM(N17:P17)/'Sch AL-TOU Cust Fcst'!E16)</f>
        <v>11977.871543783274</v>
      </c>
      <c r="R17" s="137">
        <f t="shared" si="2"/>
        <v>4201538.4571985509</v>
      </c>
      <c r="S17" s="23">
        <f t="shared" si="0"/>
        <v>1100371.404614591</v>
      </c>
      <c r="T17" s="23">
        <f t="shared" si="0"/>
        <v>389554.13263117237</v>
      </c>
      <c r="U17" s="45">
        <f>IF(SUM(R17:T17)=0,0,SUM(R17:T17)/'Sch AL-TOU Cust Fcst'!F16)</f>
        <v>12647.697765431809</v>
      </c>
      <c r="V17" s="37">
        <f>'Sch AL-TOU Cust Fcst'!$G16*'Non-Residential TSM UC Adj'!R17</f>
        <v>0</v>
      </c>
      <c r="W17" s="37">
        <f>'Sch AL-TOU Cust Fcst'!$G16*'Non-Residential TSM UC Adj'!S17</f>
        <v>53208.764320017734</v>
      </c>
      <c r="X17" s="37">
        <f>'Sch AL-TOU Cust Fcst'!$G16*'Non-Residential TSM UC Adj'!T17</f>
        <v>16452.967851994272</v>
      </c>
      <c r="Y17" s="45">
        <f>IF(SUM(V17:X17)=0,0,SUM(V17:X17)/'Sch AL-TOU Cust Fcst'!G16)</f>
        <v>4097.7489512948241</v>
      </c>
      <c r="Z17" s="37">
        <f>'Sch AL-TOU Cust Fcst'!$H16*'Non-Residential TSM UC Adj'!R17</f>
        <v>0</v>
      </c>
      <c r="AA17" s="37">
        <f>'Sch AL-TOU Cust Fcst'!$H16*'Non-Residential TSM UC Adj'!W17</f>
        <v>58921.458906063985</v>
      </c>
      <c r="AB17" s="37">
        <f>'Sch AL-TOU Cust Fcst'!$H16*'Non-Residential TSM UC Adj'!X17</f>
        <v>967.82163835260417</v>
      </c>
      <c r="AC17" s="45">
        <f>IF(SUM(Z17:AB17)=0,0,SUM(Z17:AB17)/'Sch AL-TOU Cust Fcst'!H16)</f>
        <v>59889.280544416586</v>
      </c>
      <c r="AD17" s="23">
        <f t="shared" si="3"/>
        <v>4201538.4571985509</v>
      </c>
      <c r="AE17" s="23">
        <f t="shared" si="1"/>
        <v>1212501.6278406729</v>
      </c>
      <c r="AF17" s="23">
        <f t="shared" si="1"/>
        <v>406974.92212151922</v>
      </c>
      <c r="AG17" s="45">
        <f>IF(SUM(AD17:AF17)=0,0,SUM(AD17:AF17)/'Sch AL-TOU Cust Fcst'!I16)</f>
        <v>12438.066254616971</v>
      </c>
    </row>
    <row r="18" spans="1:33">
      <c r="A18" s="155" t="s">
        <v>12</v>
      </c>
      <c r="B18" s="137">
        <f>'Sch AL-TOU Cust Fcst'!$B17*'Non-Residential TSM UC Adj'!J18</f>
        <v>0</v>
      </c>
      <c r="C18" s="23">
        <f>'Sch AL-TOU Cust Fcst'!$B17*'Non-Residential TSM UC Adj'!K18</f>
        <v>0</v>
      </c>
      <c r="D18" s="23">
        <f>'Sch AL-TOU Cust Fcst'!$B17*'Non-Residential TSM UC Adj'!L18</f>
        <v>0</v>
      </c>
      <c r="E18" s="45">
        <f>IF(SUM(B18:D18)=0,0,SUM(B18:D18)/'Sch AL-TOU Cust Fcst'!B17)</f>
        <v>0</v>
      </c>
      <c r="F18" s="137">
        <f>'Sch AL-TOU Cust Fcst'!$C17*'Non-Residential TSM UC Adj'!J18</f>
        <v>58125.411652796705</v>
      </c>
      <c r="G18" s="23">
        <f>'Sch AL-TOU Cust Fcst'!$C17*'Non-Residential TSM UC Adj'!K18</f>
        <v>18997.146030532505</v>
      </c>
      <c r="H18" s="23">
        <f>'Sch AL-TOU Cust Fcst'!$C17*'Non-Residential TSM UC Adj'!L18</f>
        <v>2597.0275508744826</v>
      </c>
      <c r="I18" s="45">
        <f>IF(SUM(F18:H18)=0,0,SUM(F18:H18)/'Sch AL-TOU Cust Fcst'!C17)</f>
        <v>26573.1950780679</v>
      </c>
      <c r="J18" s="137">
        <f>'Sch AL-TOU Cust Fcst'!$D17*'Non-Residential TSM UC Adj'!J18</f>
        <v>1976263.9961950879</v>
      </c>
      <c r="K18" s="23">
        <f>'Sch AL-TOU Cust Fcst'!$D17*'Non-Residential TSM UC Adj'!K18</f>
        <v>645902.96503810515</v>
      </c>
      <c r="L18" s="23">
        <f>'Sch AL-TOU Cust Fcst'!$D17*'Non-Residential TSM UC Adj'!L18</f>
        <v>88298.936729732406</v>
      </c>
      <c r="M18" s="45">
        <f>IF(SUM(J18:L18)=0,0,SUM(J18:L18)/'Sch AL-TOU Cust Fcst'!D17)</f>
        <v>26573.195078067896</v>
      </c>
      <c r="N18" s="137">
        <f>'Sch AL-TOU Cust Fcst'!$E17*'Non-Residential TSM UC Adj'!N18</f>
        <v>7924180.6530975215</v>
      </c>
      <c r="O18" s="23">
        <f>'Sch AL-TOU Cust Fcst'!$E17*'Non-Residential TSM UC Adj'!O18</f>
        <v>1367794.5141983405</v>
      </c>
      <c r="P18" s="23">
        <f>'Sch AL-TOU Cust Fcst'!$E17*'Non-Residential TSM UC Adj'!P18</f>
        <v>373971.96732592548</v>
      </c>
      <c r="Q18" s="45">
        <f>IF(SUM(N18:P18)=0,0,SUM(N18:P18)/'Sch AL-TOU Cust Fcst'!E17)</f>
        <v>22374.877626439324</v>
      </c>
      <c r="R18" s="137">
        <f t="shared" si="2"/>
        <v>9958570.0609454066</v>
      </c>
      <c r="S18" s="23">
        <f t="shared" si="0"/>
        <v>2032694.6252669781</v>
      </c>
      <c r="T18" s="23">
        <f t="shared" si="0"/>
        <v>464867.93160653237</v>
      </c>
      <c r="U18" s="45">
        <f>IF(SUM(R18:T18)=0,0,SUM(R18:T18)/'Sch AL-TOU Cust Fcst'!F17)</f>
        <v>23195.777686813628</v>
      </c>
      <c r="V18" s="37">
        <f>'Sch AL-TOU Cust Fcst'!$G17*'Non-Residential TSM UC Adj'!R18</f>
        <v>0</v>
      </c>
      <c r="W18" s="37">
        <f>'Sch AL-TOU Cust Fcst'!$G17*'Non-Residential TSM UC Adj'!S18</f>
        <v>84508.037449439929</v>
      </c>
      <c r="X18" s="37">
        <f>'Sch AL-TOU Cust Fcst'!$G17*'Non-Residential TSM UC Adj'!T18</f>
        <v>26131.184235520312</v>
      </c>
      <c r="Y18" s="45">
        <f>IF(SUM(V18:X18)=0,0,SUM(V18:X18)/'Sch AL-TOU Cust Fcst'!G17)</f>
        <v>4097.7489512948241</v>
      </c>
      <c r="Z18" s="37">
        <f>'Sch AL-TOU Cust Fcst'!$H17*'Non-Residential TSM UC Adj'!R18</f>
        <v>0</v>
      </c>
      <c r="AA18" s="37">
        <f>'Sch AL-TOU Cust Fcst'!$H17*'Non-Residential TSM UC Adj'!W18</f>
        <v>0</v>
      </c>
      <c r="AB18" s="37">
        <f>'Sch AL-TOU Cust Fcst'!$H17*'Non-Residential TSM UC Adj'!X18</f>
        <v>0</v>
      </c>
      <c r="AC18" s="45">
        <f>IF(SUM(Z18:AB18)=0,0,SUM(Z18:AB18)/'Sch AL-TOU Cust Fcst'!H17)</f>
        <v>0</v>
      </c>
      <c r="AD18" s="23">
        <f t="shared" si="3"/>
        <v>9958570.0609454066</v>
      </c>
      <c r="AE18" s="23">
        <f t="shared" si="1"/>
        <v>2117202.662716418</v>
      </c>
      <c r="AF18" s="23">
        <f t="shared" si="1"/>
        <v>490999.11584205268</v>
      </c>
      <c r="AG18" s="45">
        <f>IF(SUM(AD18:AF18)=0,0,SUM(AD18:AF18)/'Sch AL-TOU Cust Fcst'!I17)</f>
        <v>22281.510353730278</v>
      </c>
    </row>
    <row r="19" spans="1:33">
      <c r="A19" s="155" t="s">
        <v>13</v>
      </c>
      <c r="B19" s="137">
        <f>'Sch AL-TOU Cust Fcst'!$B18*'Non-Residential TSM UC Adj'!J19</f>
        <v>0</v>
      </c>
      <c r="C19" s="23">
        <f>'Sch AL-TOU Cust Fcst'!$B18*'Non-Residential TSM UC Adj'!K19</f>
        <v>0</v>
      </c>
      <c r="D19" s="23">
        <f>'Sch AL-TOU Cust Fcst'!$B18*'Non-Residential TSM UC Adj'!L19</f>
        <v>0</v>
      </c>
      <c r="E19" s="45">
        <f>IF(SUM(B19:D19)=0,0,SUM(B19:D19)/'Sch AL-TOU Cust Fcst'!B18)</f>
        <v>0</v>
      </c>
      <c r="F19" s="137">
        <f>'Sch AL-TOU Cust Fcst'!$C18*'Non-Residential TSM UC Adj'!J19</f>
        <v>0</v>
      </c>
      <c r="G19" s="23">
        <f>'Sch AL-TOU Cust Fcst'!$C18*'Non-Residential TSM UC Adj'!K19</f>
        <v>0</v>
      </c>
      <c r="H19" s="23">
        <f>'Sch AL-TOU Cust Fcst'!$C18*'Non-Residential TSM UC Adj'!L19</f>
        <v>0</v>
      </c>
      <c r="I19" s="45">
        <f>IF(SUM(F19:H19)=0,0,SUM(F19:H19)/'Sch AL-TOU Cust Fcst'!C18)</f>
        <v>0</v>
      </c>
      <c r="J19" s="137">
        <f>'Sch AL-TOU Cust Fcst'!$D18*'Non-Residential TSM UC Adj'!J19</f>
        <v>310158.77597480209</v>
      </c>
      <c r="K19" s="23">
        <f>'Sch AL-TOU Cust Fcst'!$D18*'Non-Residential TSM UC Adj'!K19</f>
        <v>237464.32538165632</v>
      </c>
      <c r="L19" s="23">
        <f>'Sch AL-TOU Cust Fcst'!$D18*'Non-Residential TSM UC Adj'!L19</f>
        <v>21641.896257287353</v>
      </c>
      <c r="M19" s="45">
        <f>IF(SUM(J19:L19)=0,0,SUM(J19:L19)/'Sch AL-TOU Cust Fcst'!D18)</f>
        <v>22770.599904549828</v>
      </c>
      <c r="N19" s="137">
        <f>'Sch AL-TOU Cust Fcst'!$E18*'Non-Residential TSM UC Adj'!N19</f>
        <v>3337308.4294888708</v>
      </c>
      <c r="O19" s="23">
        <f>'Sch AL-TOU Cust Fcst'!$E18*'Non-Residential TSM UC Adj'!O19</f>
        <v>1044091.3856836859</v>
      </c>
      <c r="P19" s="23">
        <f>'Sch AL-TOU Cust Fcst'!$E18*'Non-Residential TSM UC Adj'!P19</f>
        <v>232866.80372841193</v>
      </c>
      <c r="Q19" s="45">
        <f>IF(SUM(N19:P19)=0,0,SUM(N19:P19)/'Sch AL-TOU Cust Fcst'!E18)</f>
        <v>17153.407505208063</v>
      </c>
      <c r="R19" s="137">
        <f t="shared" si="2"/>
        <v>3647467.205463673</v>
      </c>
      <c r="S19" s="23">
        <f t="shared" si="0"/>
        <v>1281555.7110653422</v>
      </c>
      <c r="T19" s="23">
        <f t="shared" si="0"/>
        <v>254508.69998569929</v>
      </c>
      <c r="U19" s="45">
        <f>IF(SUM(R19:T19)=0,0,SUM(R19:T19)/'Sch AL-TOU Cust Fcst'!F18)</f>
        <v>17631.059920118078</v>
      </c>
      <c r="V19" s="37">
        <f>'Sch AL-TOU Cust Fcst'!$G18*'Non-Residential TSM UC Adj'!R19</f>
        <v>0</v>
      </c>
      <c r="W19" s="37">
        <f>'Sch AL-TOU Cust Fcst'!$G18*'Non-Residential TSM UC Adj'!S19</f>
        <v>84508.037449439929</v>
      </c>
      <c r="X19" s="37">
        <f>'Sch AL-TOU Cust Fcst'!$G18*'Non-Residential TSM UC Adj'!T19</f>
        <v>26131.184235520312</v>
      </c>
      <c r="Y19" s="45">
        <f>IF(SUM(V19:X19)=0,0,SUM(V19:X19)/'Sch AL-TOU Cust Fcst'!G18)</f>
        <v>4097.7489512948241</v>
      </c>
      <c r="Z19" s="37">
        <f>'Sch AL-TOU Cust Fcst'!$H18*'Non-Residential TSM UC Adj'!R19</f>
        <v>0</v>
      </c>
      <c r="AA19" s="37">
        <f>'Sch AL-TOU Cust Fcst'!$H18*'Non-Residential TSM UC Adj'!W19</f>
        <v>0</v>
      </c>
      <c r="AB19" s="37">
        <f>'Sch AL-TOU Cust Fcst'!$H18*'Non-Residential TSM UC Adj'!X19</f>
        <v>0</v>
      </c>
      <c r="AC19" s="45">
        <f>IF(SUM(Z19:AB19)=0,0,SUM(Z19:AB19)/'Sch AL-TOU Cust Fcst'!H18)</f>
        <v>0</v>
      </c>
      <c r="AD19" s="23">
        <f t="shared" si="3"/>
        <v>3647467.205463673</v>
      </c>
      <c r="AE19" s="23">
        <f t="shared" si="1"/>
        <v>1366063.7485147822</v>
      </c>
      <c r="AF19" s="23">
        <f t="shared" si="1"/>
        <v>280639.88422121957</v>
      </c>
      <c r="AG19" s="45">
        <f>IF(SUM(AD19:AF19)=0,0,SUM(AD19:AF19)/'Sch AL-TOU Cust Fcst'!I18)</f>
        <v>16492.744044235744</v>
      </c>
    </row>
    <row r="20" spans="1:33">
      <c r="A20" s="155" t="s">
        <v>122</v>
      </c>
      <c r="B20" s="137">
        <f>'Sch AL-TOU Cust Fcst'!$B19*'Non-Residential TSM UC Adj'!J20</f>
        <v>0</v>
      </c>
      <c r="C20" s="23">
        <f>'Sch AL-TOU Cust Fcst'!$B19*'Non-Residential TSM UC Adj'!K20</f>
        <v>0</v>
      </c>
      <c r="D20" s="23">
        <f>'Sch AL-TOU Cust Fcst'!$B19*'Non-Residential TSM UC Adj'!L20</f>
        <v>0</v>
      </c>
      <c r="E20" s="45">
        <f>IF(SUM(B20:D20)=0,0,SUM(B20:D20)/'Sch AL-TOU Cust Fcst'!B19)</f>
        <v>0</v>
      </c>
      <c r="F20" s="137">
        <f>'Sch AL-TOU Cust Fcst'!$C19*'Non-Residential TSM UC Adj'!J20</f>
        <v>0</v>
      </c>
      <c r="G20" s="23">
        <f>'Sch AL-TOU Cust Fcst'!$C19*'Non-Residential TSM UC Adj'!K20</f>
        <v>0</v>
      </c>
      <c r="H20" s="23">
        <f>'Sch AL-TOU Cust Fcst'!$C19*'Non-Residential TSM UC Adj'!L20</f>
        <v>0</v>
      </c>
      <c r="I20" s="45">
        <f>IF(SUM(F20:H20)=0,0,SUM(F20:H20)/'Sch AL-TOU Cust Fcst'!C19)</f>
        <v>0</v>
      </c>
      <c r="J20" s="137">
        <f>'Sch AL-TOU Cust Fcst'!$D19*'Non-Residential TSM UC Adj'!J20</f>
        <v>16768.219224341061</v>
      </c>
      <c r="K20" s="23">
        <f>'Sch AL-TOU Cust Fcst'!$D19*'Non-Residential TSM UC Adj'!K20</f>
        <v>9498.5730152662527</v>
      </c>
      <c r="L20" s="23">
        <f>'Sch AL-TOU Cust Fcst'!$D19*'Non-Residential TSM UC Adj'!L20</f>
        <v>865.67585029149416</v>
      </c>
      <c r="M20" s="45">
        <f>IF(SUM(J20:L20)=0,0,SUM(J20:L20)/'Sch AL-TOU Cust Fcst'!D19)</f>
        <v>27132.468089898804</v>
      </c>
      <c r="N20" s="137">
        <f>'Sch AL-TOU Cust Fcst'!$E19*'Non-Residential TSM UC Adj'!N20</f>
        <v>1388508.814044639</v>
      </c>
      <c r="O20" s="23">
        <f>'Sch AL-TOU Cust Fcst'!$E19*'Non-Residential TSM UC Adj'!O20</f>
        <v>380375.3003605993</v>
      </c>
      <c r="P20" s="23">
        <f>'Sch AL-TOU Cust Fcst'!$E19*'Non-Residential TSM UC Adj'!P20</f>
        <v>84836.233328566421</v>
      </c>
      <c r="Q20" s="45">
        <f>IF(SUM(N20:P20)=0,0,SUM(N20:P20)/'Sch AL-TOU Cust Fcst'!E19)</f>
        <v>18915.513752385763</v>
      </c>
      <c r="R20" s="137">
        <f t="shared" si="2"/>
        <v>1405277.03326898</v>
      </c>
      <c r="S20" s="23">
        <f t="shared" si="0"/>
        <v>389873.87337586557</v>
      </c>
      <c r="T20" s="23">
        <f t="shared" si="0"/>
        <v>85701.90917885791</v>
      </c>
      <c r="U20" s="45">
        <f>IF(SUM(R20:T20)=0,0,SUM(R20:T20)/'Sch AL-TOU Cust Fcst'!F19)</f>
        <v>18998.51329114852</v>
      </c>
      <c r="V20" s="37">
        <f>'Sch AL-TOU Cust Fcst'!$G19*'Non-Residential TSM UC Adj'!R20</f>
        <v>0</v>
      </c>
      <c r="W20" s="37">
        <f>'Sch AL-TOU Cust Fcst'!$G19*'Non-Residential TSM UC Adj'!S20</f>
        <v>40689.055068248854</v>
      </c>
      <c r="X20" s="37">
        <f>'Sch AL-TOU Cust Fcst'!$G19*'Non-Residential TSM UC Adj'!T20</f>
        <v>12581.681298583855</v>
      </c>
      <c r="Y20" s="45">
        <f>IF(SUM(V20:X20)=0,0,SUM(V20:X20)/'Sch AL-TOU Cust Fcst'!G19)</f>
        <v>4097.7489512948241</v>
      </c>
      <c r="Z20" s="37">
        <f>'Sch AL-TOU Cust Fcst'!$H19*'Non-Residential TSM UC Adj'!R20</f>
        <v>0</v>
      </c>
      <c r="AA20" s="37">
        <f>'Sch AL-TOU Cust Fcst'!$H19*'Non-Residential TSM UC Adj'!W20</f>
        <v>58921.458906063985</v>
      </c>
      <c r="AB20" s="37">
        <f>'Sch AL-TOU Cust Fcst'!$H19*'Non-Residential TSM UC Adj'!X20</f>
        <v>967.82163835260417</v>
      </c>
      <c r="AC20" s="45">
        <f>IF(SUM(Z20:AB20)=0,0,SUM(Z20:AB20)/'Sch AL-TOU Cust Fcst'!H19)</f>
        <v>59889.280544416586</v>
      </c>
      <c r="AD20" s="23">
        <f t="shared" si="3"/>
        <v>1405277.03326898</v>
      </c>
      <c r="AE20" s="23">
        <f t="shared" si="1"/>
        <v>489484.38735017838</v>
      </c>
      <c r="AF20" s="23">
        <f t="shared" si="1"/>
        <v>99251.412115794359</v>
      </c>
      <c r="AG20" s="45">
        <f>IF(SUM(AD20:AF20)=0,0,SUM(AD20:AF20)/'Sch AL-TOU Cust Fcst'!I19)</f>
        <v>17646.131263141175</v>
      </c>
    </row>
    <row r="21" spans="1:33">
      <c r="A21" s="155" t="s">
        <v>123</v>
      </c>
      <c r="B21" s="137">
        <f>'Sch AL-TOU Cust Fcst'!$B20*'Non-Residential TSM UC Adj'!J21</f>
        <v>0</v>
      </c>
      <c r="C21" s="23">
        <f>'Sch AL-TOU Cust Fcst'!$B20*'Non-Residential TSM UC Adj'!K21</f>
        <v>0</v>
      </c>
      <c r="D21" s="23">
        <f>'Sch AL-TOU Cust Fcst'!$B20*'Non-Residential TSM UC Adj'!L21</f>
        <v>0</v>
      </c>
      <c r="E21" s="45">
        <f>IF(SUM(B21:D21)=0,0,SUM(B21:D21)/'Sch AL-TOU Cust Fcst'!B20)</f>
        <v>0</v>
      </c>
      <c r="F21" s="137">
        <f>'Sch AL-TOU Cust Fcst'!$C20*'Non-Residential TSM UC Adj'!J21</f>
        <v>0</v>
      </c>
      <c r="G21" s="23">
        <f>'Sch AL-TOU Cust Fcst'!$C20*'Non-Residential TSM UC Adj'!K21</f>
        <v>0</v>
      </c>
      <c r="H21" s="23">
        <f>'Sch AL-TOU Cust Fcst'!$C20*'Non-Residential TSM UC Adj'!L21</f>
        <v>0</v>
      </c>
      <c r="I21" s="45">
        <f>IF(SUM(F21:H21)=0,0,SUM(F21:H21)/'Sch AL-TOU Cust Fcst'!C20)</f>
        <v>0</v>
      </c>
      <c r="J21" s="137">
        <f>'Sch AL-TOU Cust Fcst'!$D20*'Non-Residential TSM UC Adj'!J21</f>
        <v>16768.219224341061</v>
      </c>
      <c r="K21" s="23">
        <f>'Sch AL-TOU Cust Fcst'!$D20*'Non-Residential TSM UC Adj'!K21</f>
        <v>9498.5730152662527</v>
      </c>
      <c r="L21" s="23">
        <f>'Sch AL-TOU Cust Fcst'!$D20*'Non-Residential TSM UC Adj'!L21</f>
        <v>865.67585029149416</v>
      </c>
      <c r="M21" s="45">
        <f>IF(SUM(J21:L21)=0,0,SUM(J21:L21)/'Sch AL-TOU Cust Fcst'!D20)</f>
        <v>27132.468089898804</v>
      </c>
      <c r="N21" s="137">
        <f>'Sch AL-TOU Cust Fcst'!$E20*'Non-Residential TSM UC Adj'!N21</f>
        <v>1020128.9246042245</v>
      </c>
      <c r="O21" s="23">
        <f>'Sch AL-TOU Cust Fcst'!$E20*'Non-Residential TSM UC Adj'!O21</f>
        <v>279459.40434656275</v>
      </c>
      <c r="P21" s="23">
        <f>'Sch AL-TOU Cust Fcst'!$E20*'Non-Residential TSM UC Adj'!P21</f>
        <v>62328.661220987582</v>
      </c>
      <c r="Q21" s="45">
        <f>IF(SUM(N21:P21)=0,0,SUM(N21:P21)/'Sch AL-TOU Cust Fcst'!E20)</f>
        <v>18915.513752385759</v>
      </c>
      <c r="R21" s="137">
        <f t="shared" si="2"/>
        <v>1036897.1438285656</v>
      </c>
      <c r="S21" s="23">
        <f t="shared" si="0"/>
        <v>288957.97736182902</v>
      </c>
      <c r="T21" s="23">
        <f t="shared" si="0"/>
        <v>63194.337071279078</v>
      </c>
      <c r="U21" s="45">
        <f>IF(SUM(R21:T21)=0,0,SUM(R21:T21)/'Sch AL-TOU Cust Fcst'!F20)</f>
        <v>19028.074770707859</v>
      </c>
      <c r="V21" s="37">
        <f>'Sch AL-TOU Cust Fcst'!$G20*'Non-Residential TSM UC Adj'!R21</f>
        <v>0</v>
      </c>
      <c r="W21" s="37">
        <f>'Sch AL-TOU Cust Fcst'!$G20*'Non-Residential TSM UC Adj'!S21</f>
        <v>31299.273129422196</v>
      </c>
      <c r="X21" s="37">
        <f>'Sch AL-TOU Cust Fcst'!$G20*'Non-Residential TSM UC Adj'!T21</f>
        <v>9678.2163835260417</v>
      </c>
      <c r="Y21" s="45">
        <f>IF(SUM(V21:X21)=0,0,SUM(V21:X21)/'Sch AL-TOU Cust Fcst'!G20)</f>
        <v>4097.7489512948241</v>
      </c>
      <c r="Z21" s="37">
        <f>'Sch AL-TOU Cust Fcst'!$H20*'Non-Residential TSM UC Adj'!R21</f>
        <v>0</v>
      </c>
      <c r="AA21" s="37">
        <f>'Sch AL-TOU Cust Fcst'!$H20*'Non-Residential TSM UC Adj'!W21</f>
        <v>117842.91781212797</v>
      </c>
      <c r="AB21" s="37">
        <f>'Sch AL-TOU Cust Fcst'!$H20*'Non-Residential TSM UC Adj'!X21</f>
        <v>1935.6432767052083</v>
      </c>
      <c r="AC21" s="45">
        <f>IF(SUM(Z21:AB21)=0,0,SUM(Z21:AB21)/'Sch AL-TOU Cust Fcst'!H20)</f>
        <v>59889.280544416586</v>
      </c>
      <c r="AD21" s="23">
        <f t="shared" si="3"/>
        <v>1036897.1438285656</v>
      </c>
      <c r="AE21" s="23">
        <f t="shared" si="1"/>
        <v>438100.16830337921</v>
      </c>
      <c r="AF21" s="23">
        <f t="shared" si="1"/>
        <v>74808.196731510325</v>
      </c>
      <c r="AG21" s="45">
        <f>IF(SUM(AD21:AF21)=0,0,SUM(AD21:AF21)/'Sch AL-TOU Cust Fcst'!I20)</f>
        <v>18233.005986628883</v>
      </c>
    </row>
    <row r="22" spans="1:33">
      <c r="A22" s="153" t="s">
        <v>14</v>
      </c>
      <c r="B22" s="137">
        <f>'Sch AL-TOU Cust Fcst'!$B21*'Non-Residential TSM UC Adj'!J22</f>
        <v>0</v>
      </c>
      <c r="C22" s="23">
        <f>'Sch AL-TOU Cust Fcst'!$B21*'Non-Residential TSM UC Adj'!K22</f>
        <v>0</v>
      </c>
      <c r="D22" s="23">
        <f>'Sch AL-TOU Cust Fcst'!$B21*'Non-Residential TSM UC Adj'!L22</f>
        <v>0</v>
      </c>
      <c r="E22" s="45">
        <f>IF(SUM(B22:D22)=0,0,SUM(B22:D22)/'Sch AL-TOU Cust Fcst'!B21)</f>
        <v>0</v>
      </c>
      <c r="F22" s="137">
        <f>'Sch AL-TOU Cust Fcst'!$C21*'Non-Residential TSM UC Adj'!J22</f>
        <v>0</v>
      </c>
      <c r="G22" s="23">
        <f>'Sch AL-TOU Cust Fcst'!$C21*'Non-Residential TSM UC Adj'!K22</f>
        <v>0</v>
      </c>
      <c r="H22" s="23">
        <f>'Sch AL-TOU Cust Fcst'!$C21*'Non-Residential TSM UC Adj'!L22</f>
        <v>0</v>
      </c>
      <c r="I22" s="45">
        <f>IF(SUM(F22:H22)=0,0,SUM(F22:H22)/'Sch AL-TOU Cust Fcst'!C21)</f>
        <v>0</v>
      </c>
      <c r="J22" s="137">
        <f>'Sch AL-TOU Cust Fcst'!$D21*'Non-Residential TSM UC Adj'!J22</f>
        <v>167682.19224341062</v>
      </c>
      <c r="K22" s="23">
        <f>'Sch AL-TOU Cust Fcst'!$D21*'Non-Residential TSM UC Adj'!K22</f>
        <v>63323.820101775018</v>
      </c>
      <c r="L22" s="23">
        <f>'Sch AL-TOU Cust Fcst'!$D21*'Non-Residential TSM UC Adj'!L22</f>
        <v>4328.3792514574707</v>
      </c>
      <c r="M22" s="45">
        <f>IF(SUM(J22:L22)=0,0,SUM(J22:L22)/'Sch AL-TOU Cust Fcst'!D21)</f>
        <v>47066.878319328622</v>
      </c>
      <c r="N22" s="137">
        <f>'Sch AL-TOU Cust Fcst'!$E21*'Non-Residential TSM UC Adj'!N22</f>
        <v>3145397.5175296925</v>
      </c>
      <c r="O22" s="23">
        <f>'Sch AL-TOU Cust Fcst'!$E21*'Non-Residential TSM UC Adj'!O22</f>
        <v>702894.40312970267</v>
      </c>
      <c r="P22" s="23">
        <f>'Sch AL-TOU Cust Fcst'!$E21*'Non-Residential TSM UC Adj'!P22</f>
        <v>96090.019382355851</v>
      </c>
      <c r="Q22" s="45">
        <f>IF(SUM(N22:P22)=0,0,SUM(N22:P22)/'Sch AL-TOU Cust Fcst'!E21)</f>
        <v>35534.972432808565</v>
      </c>
      <c r="R22" s="137">
        <f t="shared" si="2"/>
        <v>3313079.7097731032</v>
      </c>
      <c r="S22" s="23">
        <f t="shared" si="0"/>
        <v>766218.22323147766</v>
      </c>
      <c r="T22" s="23">
        <f t="shared" si="0"/>
        <v>100418.39863381333</v>
      </c>
      <c r="U22" s="45">
        <f>IF(SUM(R22:T22)=0,0,SUM(R22:T22)/'Sch AL-TOU Cust Fcst'!F21)</f>
        <v>36032.037341710296</v>
      </c>
      <c r="V22" s="37">
        <f>'Sch AL-TOU Cust Fcst'!$G21*'Non-Residential TSM UC Adj'!R22</f>
        <v>0</v>
      </c>
      <c r="W22" s="37">
        <f>'Sch AL-TOU Cust Fcst'!$G21*'Non-Residential TSM UC Adj'!S22</f>
        <v>75118.255510613264</v>
      </c>
      <c r="X22" s="37">
        <f>'Sch AL-TOU Cust Fcst'!$G21*'Non-Residential TSM UC Adj'!T22</f>
        <v>23227.7193204625</v>
      </c>
      <c r="Y22" s="45">
        <f>IF(SUM(V22:X22)=0,0,SUM(V22:X22)/'Sch AL-TOU Cust Fcst'!G21)</f>
        <v>4097.7489512948232</v>
      </c>
      <c r="Z22" s="37">
        <f>'Sch AL-TOU Cust Fcst'!$H21*'Non-Residential TSM UC Adj'!R22</f>
        <v>0</v>
      </c>
      <c r="AA22" s="37">
        <f>'Sch AL-TOU Cust Fcst'!$H21*'Non-Residential TSM UC Adj'!W22</f>
        <v>58921.458906063985</v>
      </c>
      <c r="AB22" s="37">
        <f>'Sch AL-TOU Cust Fcst'!$H21*'Non-Residential TSM UC Adj'!X22</f>
        <v>967.82163835260417</v>
      </c>
      <c r="AC22" s="45">
        <f>IF(SUM(Z22:AB22)=0,0,SUM(Z22:AB22)/'Sch AL-TOU Cust Fcst'!H21)</f>
        <v>59889.280544416586</v>
      </c>
      <c r="AD22" s="23">
        <f t="shared" si="3"/>
        <v>3313079.7097731032</v>
      </c>
      <c r="AE22" s="23">
        <f t="shared" si="1"/>
        <v>900257.93764815503</v>
      </c>
      <c r="AF22" s="23">
        <f t="shared" si="1"/>
        <v>124613.93959262843</v>
      </c>
      <c r="AG22" s="45">
        <f>IF(SUM(AD22:AF22)=0,0,SUM(AD22:AF22)/'Sch AL-TOU Cust Fcst'!I21)</f>
        <v>30765.614092297074</v>
      </c>
    </row>
    <row r="23" spans="1:33">
      <c r="A23" s="155" t="s">
        <v>15</v>
      </c>
      <c r="B23" s="137">
        <f>'Sch AL-TOU Cust Fcst'!$B22*'Non-Residential TSM UC Adj'!J23</f>
        <v>0</v>
      </c>
      <c r="C23" s="23">
        <f>'Sch AL-TOU Cust Fcst'!$B22*'Non-Residential TSM UC Adj'!K23</f>
        <v>0</v>
      </c>
      <c r="D23" s="23">
        <f>'Sch AL-TOU Cust Fcst'!$B22*'Non-Residential TSM UC Adj'!L23</f>
        <v>0</v>
      </c>
      <c r="E23" s="45">
        <f>IF(SUM(B23:D23)=0,0,SUM(B23:D23)/'Sch AL-TOU Cust Fcst'!B22)</f>
        <v>0</v>
      </c>
      <c r="F23" s="137">
        <f>'Sch AL-TOU Cust Fcst'!$C22*'Non-Residential TSM UC Adj'!J23</f>
        <v>0</v>
      </c>
      <c r="G23" s="23">
        <f>'Sch AL-TOU Cust Fcst'!$C22*'Non-Residential TSM UC Adj'!K23</f>
        <v>0</v>
      </c>
      <c r="H23" s="23">
        <f>'Sch AL-TOU Cust Fcst'!$C22*'Non-Residential TSM UC Adj'!L23</f>
        <v>0</v>
      </c>
      <c r="I23" s="45">
        <f>IF(SUM(F23:H23)=0,0,SUM(F23:H23)/'Sch AL-TOU Cust Fcst'!C22)</f>
        <v>0</v>
      </c>
      <c r="J23" s="137">
        <f>'Sch AL-TOU Cust Fcst'!$D22*'Non-Residential TSM UC Adj'!J23</f>
        <v>0</v>
      </c>
      <c r="K23" s="23">
        <f>'Sch AL-TOU Cust Fcst'!$D22*'Non-Residential TSM UC Adj'!K23</f>
        <v>0</v>
      </c>
      <c r="L23" s="23">
        <f>'Sch AL-TOU Cust Fcst'!$D22*'Non-Residential TSM UC Adj'!L23</f>
        <v>0</v>
      </c>
      <c r="M23" s="45">
        <f>IF(SUM(J23:L23)=0,0,SUM(J23:L23)/'Sch AL-TOU Cust Fcst'!D22)</f>
        <v>0</v>
      </c>
      <c r="N23" s="137">
        <f>'Sch AL-TOU Cust Fcst'!$E22*'Non-Residential TSM UC Adj'!N23</f>
        <v>2851300.3156328946</v>
      </c>
      <c r="O23" s="23">
        <f>'Sch AL-TOU Cust Fcst'!$E22*'Non-Residential TSM UC Adj'!O23</f>
        <v>525587.70684473263</v>
      </c>
      <c r="P23" s="23">
        <f>'Sch AL-TOU Cust Fcst'!$E22*'Non-Residential TSM UC Adj'!P23</f>
        <v>71851.095574194012</v>
      </c>
      <c r="Q23" s="45">
        <f>IF(SUM(N23:P23)=0,0,SUM(N23:P23)/'Sch AL-TOU Cust Fcst'!E22)</f>
        <v>41551.073711467725</v>
      </c>
      <c r="R23" s="137">
        <f t="shared" si="2"/>
        <v>2851300.3156328946</v>
      </c>
      <c r="S23" s="23">
        <f t="shared" si="2"/>
        <v>525587.70684473263</v>
      </c>
      <c r="T23" s="23">
        <f t="shared" si="2"/>
        <v>71851.095574194012</v>
      </c>
      <c r="U23" s="45">
        <f>IF(SUM(R23:T23)=0,0,SUM(R23:T23)/'Sch AL-TOU Cust Fcst'!F22)</f>
        <v>41551.073711467725</v>
      </c>
      <c r="V23" s="37">
        <f>'Sch AL-TOU Cust Fcst'!$G22*'Non-Residential TSM UC Adj'!R23</f>
        <v>0</v>
      </c>
      <c r="W23" s="37">
        <f>'Sch AL-TOU Cust Fcst'!$G22*'Non-Residential TSM UC Adj'!S23</f>
        <v>46948.90969413329</v>
      </c>
      <c r="X23" s="37">
        <f>'Sch AL-TOU Cust Fcst'!$G22*'Non-Residential TSM UC Adj'!T23</f>
        <v>14517.324575289062</v>
      </c>
      <c r="Y23" s="45">
        <f>IF(SUM(V23:X23)=0,0,SUM(V23:X23)/'Sch AL-TOU Cust Fcst'!G22)</f>
        <v>4097.7489512948232</v>
      </c>
      <c r="Z23" s="37">
        <f>'Sch AL-TOU Cust Fcst'!$H22*'Non-Residential TSM UC Adj'!R23</f>
        <v>0</v>
      </c>
      <c r="AA23" s="37">
        <f>'Sch AL-TOU Cust Fcst'!$H22*'Non-Residential TSM UC Adj'!W23</f>
        <v>58921.458906063985</v>
      </c>
      <c r="AB23" s="37">
        <f>'Sch AL-TOU Cust Fcst'!$H22*'Non-Residential TSM UC Adj'!X23</f>
        <v>967.82163835260417</v>
      </c>
      <c r="AC23" s="45">
        <f>IF(SUM(Z23:AB23)=0,0,SUM(Z23:AB23)/'Sch AL-TOU Cust Fcst'!H22)</f>
        <v>59889.280544416586</v>
      </c>
      <c r="AD23" s="23">
        <f t="shared" si="3"/>
        <v>2851300.3156328946</v>
      </c>
      <c r="AE23" s="23">
        <f t="shared" ref="AE23:AE37" si="4">S23+W23+AA23</f>
        <v>631458.07544493</v>
      </c>
      <c r="AF23" s="23">
        <f t="shared" ref="AF23:AF37" si="5">T23+X23+AB23</f>
        <v>87336.241787835679</v>
      </c>
      <c r="AG23" s="45">
        <f>IF(SUM(AD23:AF23)=0,0,SUM(AD23:AF23)/'Sch AL-TOU Cust Fcst'!I22)</f>
        <v>36061.561948137984</v>
      </c>
    </row>
    <row r="24" spans="1:33">
      <c r="A24" s="155" t="s">
        <v>16</v>
      </c>
      <c r="B24" s="137">
        <f>'Sch AL-TOU Cust Fcst'!$B23*'Non-Residential TSM UC Adj'!J24</f>
        <v>0</v>
      </c>
      <c r="C24" s="23">
        <f>'Sch AL-TOU Cust Fcst'!$B23*'Non-Residential TSM UC Adj'!K24</f>
        <v>0</v>
      </c>
      <c r="D24" s="23">
        <f>'Sch AL-TOU Cust Fcst'!$B23*'Non-Residential TSM UC Adj'!L24</f>
        <v>0</v>
      </c>
      <c r="E24" s="45">
        <f>IF(SUM(B24:D24)=0,0,SUM(B24:D24)/'Sch AL-TOU Cust Fcst'!B23)</f>
        <v>0</v>
      </c>
      <c r="F24" s="137">
        <f>'Sch AL-TOU Cust Fcst'!$C23*'Non-Residential TSM UC Adj'!J24</f>
        <v>0</v>
      </c>
      <c r="G24" s="23">
        <f>'Sch AL-TOU Cust Fcst'!$C23*'Non-Residential TSM UC Adj'!K24</f>
        <v>0</v>
      </c>
      <c r="H24" s="23">
        <f>'Sch AL-TOU Cust Fcst'!$C23*'Non-Residential TSM UC Adj'!L24</f>
        <v>0</v>
      </c>
      <c r="I24" s="45">
        <f>IF(SUM(F24:H24)=0,0,SUM(F24:H24)/'Sch AL-TOU Cust Fcst'!C23)</f>
        <v>0</v>
      </c>
      <c r="J24" s="137">
        <f>'Sch AL-TOU Cust Fcst'!$D23*'Non-Residential TSM UC Adj'!J24</f>
        <v>118124.1162395961</v>
      </c>
      <c r="K24" s="23">
        <f>'Sch AL-TOU Cust Fcst'!$D23*'Non-Residential TSM UC Adj'!K24</f>
        <v>56991.43809159752</v>
      </c>
      <c r="L24" s="23">
        <f>'Sch AL-TOU Cust Fcst'!$D23*'Non-Residential TSM UC Adj'!L24</f>
        <v>2597.0275508744826</v>
      </c>
      <c r="M24" s="45">
        <f>IF(SUM(J24:L24)=0,0,SUM(J24:L24)/'Sch AL-TOU Cust Fcst'!D23)</f>
        <v>59237.527294022701</v>
      </c>
      <c r="N24" s="137">
        <f>'Sch AL-TOU Cust Fcst'!$E23*'Non-Residential TSM UC Adj'!N24</f>
        <v>2301652.0620169151</v>
      </c>
      <c r="O24" s="23">
        <f>'Sch AL-TOU Cust Fcst'!$E23*'Non-Residential TSM UC Adj'!O24</f>
        <v>424269.5946818926</v>
      </c>
      <c r="P24" s="23">
        <f>'Sch AL-TOU Cust Fcst'!$E23*'Non-Residential TSM UC Adj'!P24</f>
        <v>58000.281969530108</v>
      </c>
      <c r="Q24" s="45">
        <f>IF(SUM(N24:P24)=0,0,SUM(N24:P24)/'Sch AL-TOU Cust Fcst'!E23)</f>
        <v>41551.073711467725</v>
      </c>
      <c r="R24" s="137">
        <f t="shared" si="2"/>
        <v>2419776.1782565112</v>
      </c>
      <c r="S24" s="23">
        <f t="shared" si="2"/>
        <v>481261.03277349012</v>
      </c>
      <c r="T24" s="23">
        <f t="shared" si="2"/>
        <v>60597.309520404589</v>
      </c>
      <c r="U24" s="45">
        <f>IF(SUM(R24:T24)=0,0,SUM(R24:T24)/'Sch AL-TOU Cust Fcst'!F23)</f>
        <v>42309.064579291517</v>
      </c>
      <c r="V24" s="37">
        <f>'Sch AL-TOU Cust Fcst'!$G23*'Non-Residential TSM UC Adj'!R24</f>
        <v>0</v>
      </c>
      <c r="W24" s="37">
        <f>'Sch AL-TOU Cust Fcst'!$G23*'Non-Residential TSM UC Adj'!S24</f>
        <v>31299.273129422196</v>
      </c>
      <c r="X24" s="37">
        <f>'Sch AL-TOU Cust Fcst'!$G23*'Non-Residential TSM UC Adj'!T24</f>
        <v>9678.2163835260417</v>
      </c>
      <c r="Y24" s="45">
        <f>IF(SUM(V24:X24)=0,0,SUM(V24:X24)/'Sch AL-TOU Cust Fcst'!G23)</f>
        <v>4097.7489512948241</v>
      </c>
      <c r="Z24" s="37">
        <f>'Sch AL-TOU Cust Fcst'!$H23*'Non-Residential TSM UC Adj'!R24</f>
        <v>0</v>
      </c>
      <c r="AA24" s="37">
        <f>'Sch AL-TOU Cust Fcst'!$H23*'Non-Residential TSM UC Adj'!W24</f>
        <v>0</v>
      </c>
      <c r="AB24" s="37">
        <f>'Sch AL-TOU Cust Fcst'!$H23*'Non-Residential TSM UC Adj'!X24</f>
        <v>0</v>
      </c>
      <c r="AC24" s="45">
        <f>IF(SUM(Z24:AB24)=0,0,SUM(Z24:AB24)/'Sch AL-TOU Cust Fcst'!H23)</f>
        <v>0</v>
      </c>
      <c r="AD24" s="23">
        <f t="shared" si="3"/>
        <v>2419776.1782565112</v>
      </c>
      <c r="AE24" s="23">
        <f t="shared" si="4"/>
        <v>512560.30590291234</v>
      </c>
      <c r="AF24" s="23">
        <f t="shared" si="5"/>
        <v>70275.525903930626</v>
      </c>
      <c r="AG24" s="45">
        <f>IF(SUM(AD24:AF24)=0,0,SUM(AD24:AF24)/'Sch AL-TOU Cust Fcst'!I23)</f>
        <v>37532.650125791923</v>
      </c>
    </row>
    <row r="25" spans="1:33">
      <c r="A25" s="155" t="s">
        <v>17</v>
      </c>
      <c r="B25" s="137">
        <f>'Sch AL-TOU Cust Fcst'!$B24*'Non-Residential TSM UC Adj'!J25</f>
        <v>0</v>
      </c>
      <c r="C25" s="23">
        <f>'Sch AL-TOU Cust Fcst'!$B24*'Non-Residential TSM UC Adj'!K25</f>
        <v>0</v>
      </c>
      <c r="D25" s="23">
        <f>'Sch AL-TOU Cust Fcst'!$B24*'Non-Residential TSM UC Adj'!L25</f>
        <v>0</v>
      </c>
      <c r="E25" s="45">
        <f>IF(SUM(B25:D25)=0,0,SUM(B25:D25)/'Sch AL-TOU Cust Fcst'!B24)</f>
        <v>0</v>
      </c>
      <c r="F25" s="137">
        <f>'Sch AL-TOU Cust Fcst'!$C24*'Non-Residential TSM UC Adj'!J25</f>
        <v>0</v>
      </c>
      <c r="G25" s="23">
        <f>'Sch AL-TOU Cust Fcst'!$C24*'Non-Residential TSM UC Adj'!K25</f>
        <v>0</v>
      </c>
      <c r="H25" s="23">
        <f>'Sch AL-TOU Cust Fcst'!$C24*'Non-Residential TSM UC Adj'!L25</f>
        <v>0</v>
      </c>
      <c r="I25" s="45">
        <f>IF(SUM(F25:H25)=0,0,SUM(F25:H25)/'Sch AL-TOU Cust Fcst'!C24)</f>
        <v>0</v>
      </c>
      <c r="J25" s="137">
        <f>'Sch AL-TOU Cust Fcst'!$D24*'Non-Residential TSM UC Adj'!J25</f>
        <v>0</v>
      </c>
      <c r="K25" s="23">
        <f>'Sch AL-TOU Cust Fcst'!$D24*'Non-Residential TSM UC Adj'!K25</f>
        <v>0</v>
      </c>
      <c r="L25" s="23">
        <f>'Sch AL-TOU Cust Fcst'!$D24*'Non-Residential TSM UC Adj'!L25</f>
        <v>0</v>
      </c>
      <c r="M25" s="45">
        <f>IF(SUM(J25:L25)=0,0,SUM(J25:L25)/'Sch AL-TOU Cust Fcst'!D24)</f>
        <v>0</v>
      </c>
      <c r="N25" s="137">
        <f>'Sch AL-TOU Cust Fcst'!$E24*'Non-Residential TSM UC Adj'!N25</f>
        <v>2182928.2670167</v>
      </c>
      <c r="O25" s="23">
        <f>'Sch AL-TOU Cust Fcst'!$E24*'Non-Residential TSM UC Adj'!O25</f>
        <v>522421.51583964389</v>
      </c>
      <c r="P25" s="23">
        <f>'Sch AL-TOU Cust Fcst'!$E24*'Non-Residential TSM UC Adj'!P25</f>
        <v>47612.171766032181</v>
      </c>
      <c r="Q25" s="45">
        <f>IF(SUM(N25:P25)=0,0,SUM(N25:P25)/'Sch AL-TOU Cust Fcst'!E24)</f>
        <v>50053.853720406834</v>
      </c>
      <c r="R25" s="137">
        <f t="shared" si="2"/>
        <v>2182928.2670167</v>
      </c>
      <c r="S25" s="23">
        <f t="shared" si="2"/>
        <v>522421.51583964389</v>
      </c>
      <c r="T25" s="23">
        <f t="shared" si="2"/>
        <v>47612.171766032181</v>
      </c>
      <c r="U25" s="45">
        <f>IF(SUM(R25:T25)=0,0,SUM(R25:T25)/'Sch AL-TOU Cust Fcst'!F24)</f>
        <v>50053.853720406834</v>
      </c>
      <c r="V25" s="37">
        <f>'Sch AL-TOU Cust Fcst'!$G24*'Non-Residential TSM UC Adj'!R25</f>
        <v>0</v>
      </c>
      <c r="W25" s="37">
        <f>'Sch AL-TOU Cust Fcst'!$G24*'Non-Residential TSM UC Adj'!S25</f>
        <v>56338.691632959948</v>
      </c>
      <c r="X25" s="37">
        <f>'Sch AL-TOU Cust Fcst'!$G24*'Non-Residential TSM UC Adj'!T25</f>
        <v>17420.789490346877</v>
      </c>
      <c r="Y25" s="45">
        <f>IF(SUM(V25:X25)=0,0,SUM(V25:X25)/'Sch AL-TOU Cust Fcst'!G24)</f>
        <v>4097.7489512948232</v>
      </c>
      <c r="Z25" s="37">
        <f>'Sch AL-TOU Cust Fcst'!$H24*'Non-Residential TSM UC Adj'!R25</f>
        <v>0</v>
      </c>
      <c r="AA25" s="37">
        <f>'Sch AL-TOU Cust Fcst'!$H24*'Non-Residential TSM UC Adj'!W25</f>
        <v>0</v>
      </c>
      <c r="AB25" s="37">
        <f>'Sch AL-TOU Cust Fcst'!$H24*'Non-Residential TSM UC Adj'!X25</f>
        <v>0</v>
      </c>
      <c r="AC25" s="45">
        <f>IF(SUM(Z25:AB25)=0,0,SUM(Z25:AB25)/'Sch AL-TOU Cust Fcst'!H24)</f>
        <v>0</v>
      </c>
      <c r="AD25" s="23">
        <f t="shared" si="3"/>
        <v>2182928.2670167</v>
      </c>
      <c r="AE25" s="23">
        <f t="shared" si="4"/>
        <v>578760.20747260388</v>
      </c>
      <c r="AF25" s="23">
        <f t="shared" si="5"/>
        <v>65032.961256379058</v>
      </c>
      <c r="AG25" s="45">
        <f>IF(SUM(AD25:AF25)=0,0,SUM(AD25:AF25)/'Sch AL-TOU Cust Fcst'!I24)</f>
        <v>38722.211448570997</v>
      </c>
    </row>
    <row r="26" spans="1:33">
      <c r="A26" s="155" t="s">
        <v>18</v>
      </c>
      <c r="B26" s="137">
        <f>'Sch AL-TOU Cust Fcst'!$B25*'Non-Residential TSM UC Adj'!J26</f>
        <v>0</v>
      </c>
      <c r="C26" s="23">
        <f>'Sch AL-TOU Cust Fcst'!$B25*'Non-Residential TSM UC Adj'!K26</f>
        <v>0</v>
      </c>
      <c r="D26" s="23">
        <f>'Sch AL-TOU Cust Fcst'!$B25*'Non-Residential TSM UC Adj'!L26</f>
        <v>0</v>
      </c>
      <c r="E26" s="45">
        <f>IF(SUM(B26:D26)=0,0,SUM(B26:D26)/'Sch AL-TOU Cust Fcst'!B25)</f>
        <v>0</v>
      </c>
      <c r="F26" s="137">
        <f>'Sch AL-TOU Cust Fcst'!$C25*'Non-Residential TSM UC Adj'!J26</f>
        <v>0</v>
      </c>
      <c r="G26" s="23">
        <f>'Sch AL-TOU Cust Fcst'!$C25*'Non-Residential TSM UC Adj'!K26</f>
        <v>0</v>
      </c>
      <c r="H26" s="23">
        <f>'Sch AL-TOU Cust Fcst'!$C25*'Non-Residential TSM UC Adj'!L26</f>
        <v>0</v>
      </c>
      <c r="I26" s="45">
        <f>IF(SUM(F26:H26)=0,0,SUM(F26:H26)/'Sch AL-TOU Cust Fcst'!C25)</f>
        <v>0</v>
      </c>
      <c r="J26" s="137">
        <f>'Sch AL-TOU Cust Fcst'!$D25*'Non-Residential TSM UC Adj'!J26</f>
        <v>39374.705413198702</v>
      </c>
      <c r="K26" s="23">
        <f>'Sch AL-TOU Cust Fcst'!$D25*'Non-Residential TSM UC Adj'!K26</f>
        <v>37994.292061065011</v>
      </c>
      <c r="L26" s="23">
        <f>'Sch AL-TOU Cust Fcst'!$D25*'Non-Residential TSM UC Adj'!L26</f>
        <v>865.67585029149416</v>
      </c>
      <c r="M26" s="45">
        <f>IF(SUM(J26:L26)=0,0,SUM(J26:L26)/'Sch AL-TOU Cust Fcst'!D25)</f>
        <v>78234.673324555202</v>
      </c>
      <c r="N26" s="137">
        <f>'Sch AL-TOU Cust Fcst'!$E25*'Non-Residential TSM UC Adj'!N26</f>
        <v>1111308.9359357746</v>
      </c>
      <c r="O26" s="23">
        <f>'Sch AL-TOU Cust Fcst'!$E25*'Non-Residential TSM UC Adj'!O26</f>
        <v>354613.39256994007</v>
      </c>
      <c r="P26" s="23">
        <f>'Sch AL-TOU Cust Fcst'!$E25*'Non-Residential TSM UC Adj'!P26</f>
        <v>24238.923808161835</v>
      </c>
      <c r="Q26" s="45">
        <f>IF(SUM(N26:P26)=0,0,SUM(N26:P26)/'Sch AL-TOU Cust Fcst'!E25)</f>
        <v>53220.044725495587</v>
      </c>
      <c r="R26" s="137">
        <f t="shared" si="2"/>
        <v>1150683.6413489734</v>
      </c>
      <c r="S26" s="23">
        <f t="shared" si="2"/>
        <v>392607.6846310051</v>
      </c>
      <c r="T26" s="23">
        <f t="shared" si="2"/>
        <v>25104.599658453328</v>
      </c>
      <c r="U26" s="45">
        <f>IF(SUM(R26:T26)=0,0,SUM(R26:T26)/'Sch AL-TOU Cust Fcst'!F25)</f>
        <v>54082.618125463167</v>
      </c>
      <c r="V26" s="37">
        <f>'Sch AL-TOU Cust Fcst'!$G25*'Non-Residential TSM UC Adj'!R26</f>
        <v>0</v>
      </c>
      <c r="W26" s="37">
        <f>'Sch AL-TOU Cust Fcst'!$G25*'Non-Residential TSM UC Adj'!S26</f>
        <v>34429.200442364418</v>
      </c>
      <c r="X26" s="37">
        <f>'Sch AL-TOU Cust Fcst'!$G25*'Non-Residential TSM UC Adj'!T26</f>
        <v>10646.038021878645</v>
      </c>
      <c r="Y26" s="45">
        <f>IF(SUM(V26:X26)=0,0,SUM(V26:X26)/'Sch AL-TOU Cust Fcst'!G25)</f>
        <v>4097.7489512948241</v>
      </c>
      <c r="Z26" s="37">
        <f>'Sch AL-TOU Cust Fcst'!$H25*'Non-Residential TSM UC Adj'!R26</f>
        <v>0</v>
      </c>
      <c r="AA26" s="37">
        <f>'Sch AL-TOU Cust Fcst'!$H25*'Non-Residential TSM UC Adj'!W26</f>
        <v>0</v>
      </c>
      <c r="AB26" s="37">
        <f>'Sch AL-TOU Cust Fcst'!$H25*'Non-Residential TSM UC Adj'!X26</f>
        <v>0</v>
      </c>
      <c r="AC26" s="45">
        <f>IF(SUM(Z26:AB26)=0,0,SUM(Z26:AB26)/'Sch AL-TOU Cust Fcst'!H25)</f>
        <v>0</v>
      </c>
      <c r="AD26" s="23">
        <f t="shared" si="3"/>
        <v>1150683.6413489734</v>
      </c>
      <c r="AE26" s="23">
        <f t="shared" si="4"/>
        <v>427036.88507336954</v>
      </c>
      <c r="AF26" s="23">
        <f t="shared" si="5"/>
        <v>35750.637680331973</v>
      </c>
      <c r="AG26" s="45">
        <f>IF(SUM(AD26:AF26)=0,0,SUM(AD26:AF26)/'Sch AL-TOU Cust Fcst'!I25)</f>
        <v>40336.77910256687</v>
      </c>
    </row>
    <row r="27" spans="1:33">
      <c r="A27" s="155" t="s">
        <v>19</v>
      </c>
      <c r="B27" s="137">
        <f>'Sch AL-TOU Cust Fcst'!$B26*'Non-Residential TSM UC Adj'!J27</f>
        <v>0</v>
      </c>
      <c r="C27" s="23">
        <f>'Sch AL-TOU Cust Fcst'!$B26*'Non-Residential TSM UC Adj'!K27</f>
        <v>0</v>
      </c>
      <c r="D27" s="23">
        <f>'Sch AL-TOU Cust Fcst'!$B26*'Non-Residential TSM UC Adj'!L27</f>
        <v>0</v>
      </c>
      <c r="E27" s="45">
        <f>IF(SUM(B27:D27)=0,0,SUM(B27:D27)/'Sch AL-TOU Cust Fcst'!B26)</f>
        <v>0</v>
      </c>
      <c r="F27" s="137">
        <f>'Sch AL-TOU Cust Fcst'!$C26*'Non-Residential TSM UC Adj'!J27</f>
        <v>0</v>
      </c>
      <c r="G27" s="23">
        <f>'Sch AL-TOU Cust Fcst'!$C26*'Non-Residential TSM UC Adj'!K27</f>
        <v>0</v>
      </c>
      <c r="H27" s="23">
        <f>'Sch AL-TOU Cust Fcst'!$C26*'Non-Residential TSM UC Adj'!L27</f>
        <v>0</v>
      </c>
      <c r="I27" s="45">
        <f>IF(SUM(F27:H27)=0,0,SUM(F27:H27)/'Sch AL-TOU Cust Fcst'!C26)</f>
        <v>0</v>
      </c>
      <c r="J27" s="137">
        <f>'Sch AL-TOU Cust Fcst'!$D26*'Non-Residential TSM UC Adj'!J27</f>
        <v>0</v>
      </c>
      <c r="K27" s="23">
        <f>'Sch AL-TOU Cust Fcst'!$D26*'Non-Residential TSM UC Adj'!K27</f>
        <v>0</v>
      </c>
      <c r="L27" s="23">
        <f>'Sch AL-TOU Cust Fcst'!$D26*'Non-Residential TSM UC Adj'!L27</f>
        <v>0</v>
      </c>
      <c r="M27" s="45">
        <f>IF(SUM(J27:L27)=0,0,SUM(J27:L27)/'Sch AL-TOU Cust Fcst'!D26)</f>
        <v>0</v>
      </c>
      <c r="N27" s="137">
        <f>'Sch AL-TOU Cust Fcst'!$E26*'Non-Residential TSM UC Adj'!N27</f>
        <v>992240.12137122732</v>
      </c>
      <c r="O27" s="23">
        <f>'Sch AL-TOU Cust Fcst'!$E26*'Non-Residential TSM UC Adj'!O27</f>
        <v>395773.8756360939</v>
      </c>
      <c r="P27" s="23">
        <f>'Sch AL-TOU Cust Fcst'!$E26*'Non-Residential TSM UC Adj'!P27</f>
        <v>21641.896257287353</v>
      </c>
      <c r="Q27" s="45">
        <f>IF(SUM(N27:P27)=0,0,SUM(N27:P27)/'Sch AL-TOU Cust Fcst'!E26)</f>
        <v>56386.23573058434</v>
      </c>
      <c r="R27" s="137">
        <f t="shared" si="2"/>
        <v>992240.12137122732</v>
      </c>
      <c r="S27" s="23">
        <f t="shared" si="2"/>
        <v>395773.8756360939</v>
      </c>
      <c r="T27" s="23">
        <f t="shared" si="2"/>
        <v>21641.896257287353</v>
      </c>
      <c r="U27" s="45">
        <f>IF(SUM(R27:T27)=0,0,SUM(R27:T27)/'Sch AL-TOU Cust Fcst'!F26)</f>
        <v>56386.23573058434</v>
      </c>
      <c r="V27" s="37">
        <f>'Sch AL-TOU Cust Fcst'!$G26*'Non-Residential TSM UC Adj'!R27</f>
        <v>0</v>
      </c>
      <c r="W27" s="37">
        <f>'Sch AL-TOU Cust Fcst'!$G26*'Non-Residential TSM UC Adj'!S27</f>
        <v>28169.345816479974</v>
      </c>
      <c r="X27" s="37">
        <f>'Sch AL-TOU Cust Fcst'!$G26*'Non-Residential TSM UC Adj'!T27</f>
        <v>8710.3947451734384</v>
      </c>
      <c r="Y27" s="45">
        <f>IF(SUM(V27:X27)=0,0,SUM(V27:X27)/'Sch AL-TOU Cust Fcst'!G26)</f>
        <v>4097.7489512948232</v>
      </c>
      <c r="Z27" s="37">
        <f>'Sch AL-TOU Cust Fcst'!$H26*'Non-Residential TSM UC Adj'!R27</f>
        <v>0</v>
      </c>
      <c r="AA27" s="37">
        <f>'Sch AL-TOU Cust Fcst'!$H26*'Non-Residential TSM UC Adj'!W27</f>
        <v>58921.458906063985</v>
      </c>
      <c r="AB27" s="37">
        <f>'Sch AL-TOU Cust Fcst'!$H26*'Non-Residential TSM UC Adj'!X27</f>
        <v>967.82163835260417</v>
      </c>
      <c r="AC27" s="45">
        <f>IF(SUM(Z27:AB27)=0,0,SUM(Z27:AB27)/'Sch AL-TOU Cust Fcst'!H26)</f>
        <v>59889.280544416586</v>
      </c>
      <c r="AD27" s="23">
        <f t="shared" si="3"/>
        <v>992240.12137122732</v>
      </c>
      <c r="AE27" s="23">
        <f t="shared" si="4"/>
        <v>482864.68035863788</v>
      </c>
      <c r="AF27" s="23">
        <f t="shared" si="5"/>
        <v>31320.112640813397</v>
      </c>
      <c r="AG27" s="45">
        <f>IF(SUM(AD27:AF27)=0,0,SUM(AD27:AF27)/'Sch AL-TOU Cust Fcst'!I26)</f>
        <v>43040.711839162243</v>
      </c>
    </row>
    <row r="28" spans="1:33">
      <c r="A28" s="155" t="s">
        <v>20</v>
      </c>
      <c r="B28" s="137">
        <f>'Sch AL-TOU Cust Fcst'!$B27*'Non-Residential TSM UC Adj'!J28</f>
        <v>0</v>
      </c>
      <c r="C28" s="23">
        <f>'Sch AL-TOU Cust Fcst'!$B27*'Non-Residential TSM UC Adj'!K28</f>
        <v>0</v>
      </c>
      <c r="D28" s="23">
        <f>'Sch AL-TOU Cust Fcst'!$B27*'Non-Residential TSM UC Adj'!L28</f>
        <v>0</v>
      </c>
      <c r="E28" s="45">
        <f>IF(SUM(B28:D28)=0,0,SUM(B28:D28)/'Sch AL-TOU Cust Fcst'!B27)</f>
        <v>0</v>
      </c>
      <c r="F28" s="137">
        <f>'Sch AL-TOU Cust Fcst'!$C27*'Non-Residential TSM UC Adj'!J28</f>
        <v>39374.705413198702</v>
      </c>
      <c r="G28" s="23">
        <f>'Sch AL-TOU Cust Fcst'!$C27*'Non-Residential TSM UC Adj'!K28</f>
        <v>37994.292061065011</v>
      </c>
      <c r="H28" s="23">
        <f>'Sch AL-TOU Cust Fcst'!$C27*'Non-Residential TSM UC Adj'!L28</f>
        <v>865.67585029149416</v>
      </c>
      <c r="I28" s="45">
        <f>IF(SUM(F28:H28)=0,0,SUM(F28:H28)/'Sch AL-TOU Cust Fcst'!C27)</f>
        <v>78234.673324555202</v>
      </c>
      <c r="J28" s="137">
        <f>'Sch AL-TOU Cust Fcst'!$D27*'Non-Residential TSM UC Adj'!J28</f>
        <v>0</v>
      </c>
      <c r="K28" s="23">
        <f>'Sch AL-TOU Cust Fcst'!$D27*'Non-Residential TSM UC Adj'!K28</f>
        <v>0</v>
      </c>
      <c r="L28" s="23">
        <f>'Sch AL-TOU Cust Fcst'!$D27*'Non-Residential TSM UC Adj'!L28</f>
        <v>0</v>
      </c>
      <c r="M28" s="45">
        <f>IF(SUM(J28:L28)=0,0,SUM(J28:L28)/'Sch AL-TOU Cust Fcst'!D27)</f>
        <v>0</v>
      </c>
      <c r="N28" s="137">
        <f>'Sch AL-TOU Cust Fcst'!$E27*'Non-Residential TSM UC Adj'!N28</f>
        <v>201836.23761355956</v>
      </c>
      <c r="O28" s="23">
        <f>'Sch AL-TOU Cust Fcst'!$E27*'Non-Residential TSM UC Adj'!O28</f>
        <v>101318.11216284003</v>
      </c>
      <c r="P28" s="23">
        <f>'Sch AL-TOU Cust Fcst'!$E27*'Non-Residential TSM UC Adj'!P28</f>
        <v>3462.7034011659766</v>
      </c>
      <c r="Q28" s="45">
        <f>IF(SUM(N28:P28)=0,0,SUM(N28:P28)/'Sch AL-TOU Cust Fcst'!E27)</f>
        <v>76654.263294391378</v>
      </c>
      <c r="R28" s="137">
        <f t="shared" si="2"/>
        <v>241210.94302675826</v>
      </c>
      <c r="S28" s="23">
        <f t="shared" si="2"/>
        <v>139312.40422390503</v>
      </c>
      <c r="T28" s="23">
        <f t="shared" si="2"/>
        <v>4328.3792514574707</v>
      </c>
      <c r="U28" s="45">
        <f>IF(SUM(R28:T28)=0,0,SUM(R28:T28)/'Sch AL-TOU Cust Fcst'!F27)</f>
        <v>76970.34530042416</v>
      </c>
      <c r="V28" s="37">
        <f>'Sch AL-TOU Cust Fcst'!$G27*'Non-Residential TSM UC Adj'!R28</f>
        <v>0</v>
      </c>
      <c r="W28" s="37">
        <f>'Sch AL-TOU Cust Fcst'!$G27*'Non-Residential TSM UC Adj'!S28</f>
        <v>62598.546258844392</v>
      </c>
      <c r="X28" s="37">
        <f>'Sch AL-TOU Cust Fcst'!$G27*'Non-Residential TSM UC Adj'!T28</f>
        <v>19356.432767052083</v>
      </c>
      <c r="Y28" s="45">
        <f>IF(SUM(V28:X28)=0,0,SUM(V28:X28)/'Sch AL-TOU Cust Fcst'!G27)</f>
        <v>4097.7489512948241</v>
      </c>
      <c r="Z28" s="37">
        <f>'Sch AL-TOU Cust Fcst'!$H27*'Non-Residential TSM UC Adj'!R28</f>
        <v>0</v>
      </c>
      <c r="AA28" s="37">
        <f>'Sch AL-TOU Cust Fcst'!$H27*'Non-Residential TSM UC Adj'!W28</f>
        <v>0</v>
      </c>
      <c r="AB28" s="37">
        <f>'Sch AL-TOU Cust Fcst'!$H27*'Non-Residential TSM UC Adj'!X28</f>
        <v>0</v>
      </c>
      <c r="AC28" s="45">
        <f>IF(SUM(Z28:AB28)=0,0,SUM(Z28:AB28)/'Sch AL-TOU Cust Fcst'!H27)</f>
        <v>0</v>
      </c>
      <c r="AD28" s="23">
        <f t="shared" si="3"/>
        <v>241210.94302675826</v>
      </c>
      <c r="AE28" s="23">
        <f t="shared" si="4"/>
        <v>201910.95048274944</v>
      </c>
      <c r="AF28" s="23">
        <f t="shared" si="5"/>
        <v>23684.812018509554</v>
      </c>
      <c r="AG28" s="45">
        <f>IF(SUM(AD28:AF28)=0,0,SUM(AD28:AF28)/'Sch AL-TOU Cust Fcst'!I27)</f>
        <v>18672.268221120688</v>
      </c>
    </row>
    <row r="29" spans="1:33">
      <c r="A29" s="155" t="s">
        <v>21</v>
      </c>
      <c r="B29" s="137">
        <f>'Sch AL-TOU Cust Fcst'!$B28*'Non-Residential TSM UC Adj'!J29</f>
        <v>0</v>
      </c>
      <c r="C29" s="23">
        <f>'Sch AL-TOU Cust Fcst'!$B28*'Non-Residential TSM UC Adj'!K29</f>
        <v>0</v>
      </c>
      <c r="D29" s="23">
        <f>'Sch AL-TOU Cust Fcst'!$B28*'Non-Residential TSM UC Adj'!L29</f>
        <v>0</v>
      </c>
      <c r="E29" s="45">
        <f>IF(SUM(B29:D29)=0,0,SUM(B29:D29)/'Sch AL-TOU Cust Fcst'!B28)</f>
        <v>0</v>
      </c>
      <c r="F29" s="137">
        <f>'Sch AL-TOU Cust Fcst'!$C28*'Non-Residential TSM UC Adj'!J29</f>
        <v>0</v>
      </c>
      <c r="G29" s="23">
        <f>'Sch AL-TOU Cust Fcst'!$C28*'Non-Residential TSM UC Adj'!K29</f>
        <v>0</v>
      </c>
      <c r="H29" s="23">
        <f>'Sch AL-TOU Cust Fcst'!$C28*'Non-Residential TSM UC Adj'!L29</f>
        <v>0</v>
      </c>
      <c r="I29" s="45">
        <f>IF(SUM(F29:H29)=0,0,SUM(F29:H29)/'Sch AL-TOU Cust Fcst'!C28)</f>
        <v>0</v>
      </c>
      <c r="J29" s="137">
        <f>'Sch AL-TOU Cust Fcst'!$D28*'Non-Residential TSM UC Adj'!J29</f>
        <v>0</v>
      </c>
      <c r="K29" s="23">
        <f>'Sch AL-TOU Cust Fcst'!$D28*'Non-Residential TSM UC Adj'!K29</f>
        <v>0</v>
      </c>
      <c r="L29" s="23">
        <f>'Sch AL-TOU Cust Fcst'!$D28*'Non-Residential TSM UC Adj'!L29</f>
        <v>0</v>
      </c>
      <c r="M29" s="45">
        <f>IF(SUM(J29:L29)=0,0,SUM(J29:L29)/'Sch AL-TOU Cust Fcst'!D28)</f>
        <v>0</v>
      </c>
      <c r="N29" s="137">
        <f>'Sch AL-TOU Cust Fcst'!$E28*'Non-Residential TSM UC Adj'!N29</f>
        <v>385758.82056011359</v>
      </c>
      <c r="O29" s="23">
        <f>'Sch AL-TOU Cust Fcst'!$E28*'Non-Residential TSM UC Adj'!O29</f>
        <v>221633.3703562126</v>
      </c>
      <c r="P29" s="23">
        <f>'Sch AL-TOU Cust Fcst'!$E28*'Non-Residential TSM UC Adj'!P29</f>
        <v>6059.7309520404588</v>
      </c>
      <c r="Q29" s="45">
        <f>IF(SUM(N29:P29)=0,0,SUM(N29:P29)/'Sch AL-TOU Cust Fcst'!E28)</f>
        <v>87635.988838338075</v>
      </c>
      <c r="R29" s="137">
        <f t="shared" si="2"/>
        <v>385758.82056011359</v>
      </c>
      <c r="S29" s="23">
        <f t="shared" si="2"/>
        <v>221633.3703562126</v>
      </c>
      <c r="T29" s="23">
        <f t="shared" si="2"/>
        <v>6059.7309520404588</v>
      </c>
      <c r="U29" s="45">
        <f>IF(SUM(R29:T29)=0,0,SUM(R29:T29)/'Sch AL-TOU Cust Fcst'!F28)</f>
        <v>87635.988838338075</v>
      </c>
      <c r="V29" s="37">
        <f>'Sch AL-TOU Cust Fcst'!$G28*'Non-Residential TSM UC Adj'!R29</f>
        <v>0</v>
      </c>
      <c r="W29" s="37">
        <f>'Sch AL-TOU Cust Fcst'!$G28*'Non-Residential TSM UC Adj'!S29</f>
        <v>40689.055068248854</v>
      </c>
      <c r="X29" s="37">
        <f>'Sch AL-TOU Cust Fcst'!$G28*'Non-Residential TSM UC Adj'!T29</f>
        <v>12581.681298583855</v>
      </c>
      <c r="Y29" s="45">
        <f>IF(SUM(V29:X29)=0,0,SUM(V29:X29)/'Sch AL-TOU Cust Fcst'!G28)</f>
        <v>4097.7489512948241</v>
      </c>
      <c r="Z29" s="37">
        <f>'Sch AL-TOU Cust Fcst'!$H28*'Non-Residential TSM UC Adj'!R29</f>
        <v>0</v>
      </c>
      <c r="AA29" s="37">
        <f>'Sch AL-TOU Cust Fcst'!$H28*'Non-Residential TSM UC Adj'!W29</f>
        <v>0</v>
      </c>
      <c r="AB29" s="37">
        <f>'Sch AL-TOU Cust Fcst'!$H28*'Non-Residential TSM UC Adj'!X29</f>
        <v>0</v>
      </c>
      <c r="AC29" s="45">
        <f>IF(SUM(Z29:AB29)=0,0,SUM(Z29:AB29)/'Sch AL-TOU Cust Fcst'!H28)</f>
        <v>0</v>
      </c>
      <c r="AD29" s="23">
        <f t="shared" si="3"/>
        <v>385758.82056011359</v>
      </c>
      <c r="AE29" s="23">
        <f t="shared" si="4"/>
        <v>262322.42542446149</v>
      </c>
      <c r="AF29" s="23">
        <f t="shared" si="5"/>
        <v>18641.412250624315</v>
      </c>
      <c r="AG29" s="45">
        <f>IF(SUM(AD29:AF29)=0,0,SUM(AD29:AF29)/'Sch AL-TOU Cust Fcst'!I28)</f>
        <v>33336.132911759967</v>
      </c>
    </row>
    <row r="30" spans="1:33">
      <c r="A30" s="155" t="s">
        <v>22</v>
      </c>
      <c r="B30" s="137">
        <f>'Sch AL-TOU Cust Fcst'!$B29*'Non-Residential TSM UC Adj'!J30</f>
        <v>0</v>
      </c>
      <c r="C30" s="23">
        <f>'Sch AL-TOU Cust Fcst'!$B29*'Non-Residential TSM UC Adj'!K30</f>
        <v>0</v>
      </c>
      <c r="D30" s="23">
        <f>'Sch AL-TOU Cust Fcst'!$B29*'Non-Residential TSM UC Adj'!L30</f>
        <v>0</v>
      </c>
      <c r="E30" s="45">
        <f>IF(SUM(B30:D30)=0,0,SUM(B30:D30)/'Sch AL-TOU Cust Fcst'!B29)</f>
        <v>0</v>
      </c>
      <c r="F30" s="137">
        <f>'Sch AL-TOU Cust Fcst'!$C29*'Non-Residential TSM UC Adj'!J30</f>
        <v>0</v>
      </c>
      <c r="G30" s="23">
        <f>'Sch AL-TOU Cust Fcst'!$C29*'Non-Residential TSM UC Adj'!K30</f>
        <v>0</v>
      </c>
      <c r="H30" s="23">
        <f>'Sch AL-TOU Cust Fcst'!$C29*'Non-Residential TSM UC Adj'!L30</f>
        <v>0</v>
      </c>
      <c r="I30" s="45">
        <f>IF(SUM(F30:H30)=0,0,SUM(F30:H30)/'Sch AL-TOU Cust Fcst'!C29)</f>
        <v>0</v>
      </c>
      <c r="J30" s="137">
        <f>'Sch AL-TOU Cust Fcst'!$D29*'Non-Residential TSM UC Adj'!J30</f>
        <v>0</v>
      </c>
      <c r="K30" s="23">
        <f>'Sch AL-TOU Cust Fcst'!$D29*'Non-Residential TSM UC Adj'!K30</f>
        <v>0</v>
      </c>
      <c r="L30" s="23">
        <f>'Sch AL-TOU Cust Fcst'!$D29*'Non-Residential TSM UC Adj'!L30</f>
        <v>0</v>
      </c>
      <c r="M30" s="45">
        <f>IF(SUM(J30:L30)=0,0,SUM(J30:L30)/'Sch AL-TOU Cust Fcst'!D29)</f>
        <v>0</v>
      </c>
      <c r="N30" s="137">
        <f>'Sch AL-TOU Cust Fcst'!$E29*'Non-Residential TSM UC Adj'!N30</f>
        <v>110216.80587431816</v>
      </c>
      <c r="O30" s="23">
        <f>'Sch AL-TOU Cust Fcst'!$E29*'Non-Residential TSM UC Adj'!O30</f>
        <v>75988.584122130022</v>
      </c>
      <c r="P30" s="23">
        <f>'Sch AL-TOU Cust Fcst'!$E29*'Non-Residential TSM UC Adj'!P30</f>
        <v>1731.3517005829883</v>
      </c>
      <c r="Q30" s="45">
        <f>IF(SUM(N30:P30)=0,0,SUM(N30:P30)/'Sch AL-TOU Cust Fcst'!E29)</f>
        <v>93968.37084851558</v>
      </c>
      <c r="R30" s="137">
        <f t="shared" si="2"/>
        <v>110216.80587431816</v>
      </c>
      <c r="S30" s="23">
        <f t="shared" si="2"/>
        <v>75988.584122130022</v>
      </c>
      <c r="T30" s="23">
        <f t="shared" si="2"/>
        <v>1731.3517005829883</v>
      </c>
      <c r="U30" s="45">
        <f>IF(SUM(R30:T30)=0,0,SUM(R30:T30)/'Sch AL-TOU Cust Fcst'!F29)</f>
        <v>93968.37084851558</v>
      </c>
      <c r="V30" s="37">
        <f>'Sch AL-TOU Cust Fcst'!$G29*'Non-Residential TSM UC Adj'!R30</f>
        <v>0</v>
      </c>
      <c r="W30" s="37">
        <f>'Sch AL-TOU Cust Fcst'!$G29*'Non-Residential TSM UC Adj'!S30</f>
        <v>31299.273129422196</v>
      </c>
      <c r="X30" s="37">
        <f>'Sch AL-TOU Cust Fcst'!$G29*'Non-Residential TSM UC Adj'!T30</f>
        <v>9678.2163835260417</v>
      </c>
      <c r="Y30" s="45">
        <f>IF(SUM(V30:X30)=0,0,SUM(V30:X30)/'Sch AL-TOU Cust Fcst'!G29)</f>
        <v>4097.7489512948241</v>
      </c>
      <c r="Z30" s="37">
        <f>'Sch AL-TOU Cust Fcst'!$H29*'Non-Residential TSM UC Adj'!R30</f>
        <v>0</v>
      </c>
      <c r="AA30" s="37">
        <f>'Sch AL-TOU Cust Fcst'!$H29*'Non-Residential TSM UC Adj'!W30</f>
        <v>0</v>
      </c>
      <c r="AB30" s="37">
        <f>'Sch AL-TOU Cust Fcst'!$H29*'Non-Residential TSM UC Adj'!X30</f>
        <v>0</v>
      </c>
      <c r="AC30" s="45">
        <f>IF(SUM(Z30:AB30)=0,0,SUM(Z30:AB30)/'Sch AL-TOU Cust Fcst'!H29)</f>
        <v>0</v>
      </c>
      <c r="AD30" s="23">
        <f t="shared" si="3"/>
        <v>110216.80587431816</v>
      </c>
      <c r="AE30" s="23">
        <f t="shared" si="4"/>
        <v>107287.85725155222</v>
      </c>
      <c r="AF30" s="23">
        <f t="shared" si="5"/>
        <v>11409.568084109031</v>
      </c>
      <c r="AG30" s="45">
        <f>IF(SUM(AD30:AF30)=0,0,SUM(AD30:AF30)/'Sch AL-TOU Cust Fcst'!I29)</f>
        <v>19076.185934164951</v>
      </c>
    </row>
    <row r="31" spans="1:33">
      <c r="A31" s="153" t="s">
        <v>23</v>
      </c>
      <c r="B31" s="137">
        <f>'Sch AL-TOU Cust Fcst'!$B30*'Non-Residential TSM UC Adj'!J31</f>
        <v>0</v>
      </c>
      <c r="C31" s="23">
        <f>'Sch AL-TOU Cust Fcst'!$B30*'Non-Residential TSM UC Adj'!K31</f>
        <v>0</v>
      </c>
      <c r="D31" s="23">
        <f>'Sch AL-TOU Cust Fcst'!$B30*'Non-Residential TSM UC Adj'!L31</f>
        <v>0</v>
      </c>
      <c r="E31" s="45">
        <f>IF(SUM(B31:D31)=0,0,SUM(B31:D31)/'Sch AL-TOU Cust Fcst'!B30)</f>
        <v>0</v>
      </c>
      <c r="F31" s="137">
        <f>'Sch AL-TOU Cust Fcst'!$C30*'Non-Residential TSM UC Adj'!J31</f>
        <v>0</v>
      </c>
      <c r="G31" s="23">
        <f>'Sch AL-TOU Cust Fcst'!$C30*'Non-Residential TSM UC Adj'!K31</f>
        <v>0</v>
      </c>
      <c r="H31" s="23">
        <f>'Sch AL-TOU Cust Fcst'!$C30*'Non-Residential TSM UC Adj'!L31</f>
        <v>0</v>
      </c>
      <c r="I31" s="45">
        <f>IF(SUM(F31:H31)=0,0,SUM(F31:H31)/'Sch AL-TOU Cust Fcst'!C30)</f>
        <v>0</v>
      </c>
      <c r="J31" s="137">
        <f>'Sch AL-TOU Cust Fcst'!$D30*'Non-Residential TSM UC Adj'!J31</f>
        <v>0</v>
      </c>
      <c r="K31" s="23">
        <f>'Sch AL-TOU Cust Fcst'!$D30*'Non-Residential TSM UC Adj'!K31</f>
        <v>0</v>
      </c>
      <c r="L31" s="23">
        <f>'Sch AL-TOU Cust Fcst'!$D30*'Non-Residential TSM UC Adj'!L31</f>
        <v>0</v>
      </c>
      <c r="M31" s="45">
        <f>IF(SUM(J31:L31)=0,0,SUM(J31:L31)/'Sch AL-TOU Cust Fcst'!D30)</f>
        <v>0</v>
      </c>
      <c r="N31" s="137">
        <f>'Sch AL-TOU Cust Fcst'!$E30*'Non-Residential TSM UC Adj'!N31</f>
        <v>165325.20881147723</v>
      </c>
      <c r="O31" s="23">
        <f>'Sch AL-TOU Cust Fcst'!$E30*'Non-Residential TSM UC Adj'!O31</f>
        <v>113982.87618319504</v>
      </c>
      <c r="P31" s="23">
        <f>'Sch AL-TOU Cust Fcst'!$E30*'Non-Residential TSM UC Adj'!P31</f>
        <v>2597.0275508744826</v>
      </c>
      <c r="Q31" s="45">
        <f>IF(SUM(N31:P31)=0,0,SUM(N31:P31)/'Sch AL-TOU Cust Fcst'!E30)</f>
        <v>93968.370848515595</v>
      </c>
      <c r="R31" s="137">
        <f t="shared" si="2"/>
        <v>165325.20881147723</v>
      </c>
      <c r="S31" s="23">
        <f t="shared" si="2"/>
        <v>113982.87618319504</v>
      </c>
      <c r="T31" s="23">
        <f t="shared" si="2"/>
        <v>2597.0275508744826</v>
      </c>
      <c r="U31" s="45">
        <f>IF(SUM(R31:T31)=0,0,SUM(R31:T31)/'Sch AL-TOU Cust Fcst'!F30)</f>
        <v>93968.370848515595</v>
      </c>
      <c r="V31" s="37">
        <f>'Sch AL-TOU Cust Fcst'!$G30*'Non-Residential TSM UC Adj'!R31</f>
        <v>0</v>
      </c>
      <c r="W31" s="37">
        <f>'Sch AL-TOU Cust Fcst'!$G30*'Non-Residential TSM UC Adj'!S31</f>
        <v>132139.78595519889</v>
      </c>
      <c r="X31" s="37">
        <f>'Sch AL-TOU Cust Fcst'!$G30*'Non-Residential TSM UC Adj'!T31</f>
        <v>16452.967851994272</v>
      </c>
      <c r="Y31" s="45">
        <f>IF(SUM(V31:X31)=0,0,SUM(V31:X31)/'Sch AL-TOU Cust Fcst'!G30)</f>
        <v>8740.7502239525384</v>
      </c>
      <c r="Z31" s="37">
        <f>'Sch AL-TOU Cust Fcst'!$H30*'Non-Residential TSM UC Adj'!R31</f>
        <v>0</v>
      </c>
      <c r="AA31" s="37">
        <f>'Sch AL-TOU Cust Fcst'!$H30*'Non-Residential TSM UC Adj'!W31</f>
        <v>146326.81415392709</v>
      </c>
      <c r="AB31" s="37">
        <f>'Sch AL-TOU Cust Fcst'!$H30*'Non-Residential TSM UC Adj'!X31</f>
        <v>967.82163835260417</v>
      </c>
      <c r="AC31" s="45">
        <f>IF(SUM(Z31:AB31)=0,0,SUM(Z31:AB31)/'Sch AL-TOU Cust Fcst'!H30)</f>
        <v>147294.6357922797</v>
      </c>
      <c r="AD31" s="23">
        <f t="shared" si="3"/>
        <v>165325.20881147723</v>
      </c>
      <c r="AE31" s="23">
        <f t="shared" si="4"/>
        <v>392449.47629232099</v>
      </c>
      <c r="AF31" s="23">
        <f t="shared" si="5"/>
        <v>20017.817041221359</v>
      </c>
      <c r="AG31" s="45">
        <f>IF(SUM(AD31:AF31)=0,0,SUM(AD31:AF31)/'Sch AL-TOU Cust Fcst'!I30)</f>
        <v>27513.928673572362</v>
      </c>
    </row>
    <row r="32" spans="1:33">
      <c r="A32" s="153" t="s">
        <v>24</v>
      </c>
      <c r="B32" s="137">
        <f>'Sch AL-TOU Cust Fcst'!$B31*'Non-Residential TSM UC Adj'!J32</f>
        <v>0</v>
      </c>
      <c r="C32" s="23">
        <f>'Sch AL-TOU Cust Fcst'!$B31*'Non-Residential TSM UC Adj'!K32</f>
        <v>0</v>
      </c>
      <c r="D32" s="23">
        <f>'Sch AL-TOU Cust Fcst'!$B31*'Non-Residential TSM UC Adj'!L32</f>
        <v>0</v>
      </c>
      <c r="E32" s="45">
        <f>IF(SUM(B32:D32)=0,0,SUM(B32:D32)/'Sch AL-TOU Cust Fcst'!B31)</f>
        <v>0</v>
      </c>
      <c r="F32" s="137">
        <f>'Sch AL-TOU Cust Fcst'!$C31*'Non-Residential TSM UC Adj'!J32</f>
        <v>0</v>
      </c>
      <c r="G32" s="23">
        <f>'Sch AL-TOU Cust Fcst'!$C31*'Non-Residential TSM UC Adj'!K32</f>
        <v>0</v>
      </c>
      <c r="H32" s="23">
        <f>'Sch AL-TOU Cust Fcst'!$C31*'Non-Residential TSM UC Adj'!L32</f>
        <v>0</v>
      </c>
      <c r="I32" s="45">
        <f>IF(SUM(F32:H32)=0,0,SUM(F32:H32)/'Sch AL-TOU Cust Fcst'!C31)</f>
        <v>0</v>
      </c>
      <c r="J32" s="137">
        <f>'Sch AL-TOU Cust Fcst'!$D31*'Non-Residential TSM UC Adj'!J32</f>
        <v>0</v>
      </c>
      <c r="K32" s="23">
        <f>'Sch AL-TOU Cust Fcst'!$D31*'Non-Residential TSM UC Adj'!K32</f>
        <v>0</v>
      </c>
      <c r="L32" s="23">
        <f>'Sch AL-TOU Cust Fcst'!$D31*'Non-Residential TSM UC Adj'!L32</f>
        <v>0</v>
      </c>
      <c r="M32" s="45">
        <f>IF(SUM(J32:L32)=0,0,SUM(J32:L32)/'Sch AL-TOU Cust Fcst'!D31)</f>
        <v>0</v>
      </c>
      <c r="N32" s="137">
        <f>'Sch AL-TOU Cust Fcst'!$E31*'Non-Residential TSM UC Adj'!N32</f>
        <v>110216.80587431816</v>
      </c>
      <c r="O32" s="23">
        <f>'Sch AL-TOU Cust Fcst'!$E31*'Non-Residential TSM UC Adj'!O32</f>
        <v>75988.584122130022</v>
      </c>
      <c r="P32" s="23">
        <f>'Sch AL-TOU Cust Fcst'!$E31*'Non-Residential TSM UC Adj'!P32</f>
        <v>1731.3517005829883</v>
      </c>
      <c r="Q32" s="45">
        <f>IF(SUM(N32:P32)=0,0,SUM(N32:P32)/'Sch AL-TOU Cust Fcst'!E31)</f>
        <v>93968.37084851558</v>
      </c>
      <c r="R32" s="137">
        <f t="shared" si="2"/>
        <v>110216.80587431816</v>
      </c>
      <c r="S32" s="23">
        <f t="shared" si="2"/>
        <v>75988.584122130022</v>
      </c>
      <c r="T32" s="23">
        <f t="shared" si="2"/>
        <v>1731.3517005829883</v>
      </c>
      <c r="U32" s="45">
        <f>IF(SUM(R32:T32)=0,0,SUM(R32:T32)/'Sch AL-TOU Cust Fcst'!F31)</f>
        <v>93968.37084851558</v>
      </c>
      <c r="V32" s="37">
        <f>'Sch AL-TOU Cust Fcst'!$G31*'Non-Residential TSM UC Adj'!R32</f>
        <v>0</v>
      </c>
      <c r="W32" s="37">
        <f>'Sch AL-TOU Cust Fcst'!$G31*'Non-Residential TSM UC Adj'!S32</f>
        <v>15545.857171199868</v>
      </c>
      <c r="X32" s="37">
        <f>'Sch AL-TOU Cust Fcst'!$G31*'Non-Residential TSM UC Adj'!T32</f>
        <v>1935.6432767052083</v>
      </c>
      <c r="Y32" s="45">
        <f>IF(SUM(V32:X32)=0,0,SUM(V32:X32)/'Sch AL-TOU Cust Fcst'!G31)</f>
        <v>8740.7502239525384</v>
      </c>
      <c r="Z32" s="37">
        <f>'Sch AL-TOU Cust Fcst'!$H31*'Non-Residential TSM UC Adj'!R32</f>
        <v>0</v>
      </c>
      <c r="AA32" s="37">
        <f>'Sch AL-TOU Cust Fcst'!$H31*'Non-Residential TSM UC Adj'!W32</f>
        <v>146326.81415392709</v>
      </c>
      <c r="AB32" s="37">
        <f>'Sch AL-TOU Cust Fcst'!$H31*'Non-Residential TSM UC Adj'!X32</f>
        <v>967.82163835260417</v>
      </c>
      <c r="AC32" s="45">
        <f>IF(SUM(Z32:AB32)=0,0,SUM(Z32:AB32)/'Sch AL-TOU Cust Fcst'!H31)</f>
        <v>147294.6357922797</v>
      </c>
      <c r="AD32" s="23">
        <f t="shared" si="3"/>
        <v>110216.80587431816</v>
      </c>
      <c r="AE32" s="23">
        <f t="shared" si="4"/>
        <v>237861.25544725696</v>
      </c>
      <c r="AF32" s="23">
        <f t="shared" si="5"/>
        <v>4634.8166156408006</v>
      </c>
      <c r="AG32" s="45">
        <f>IF(SUM(AD32:AF32)=0,0,SUM(AD32:AF32)/'Sch AL-TOU Cust Fcst'!I31)</f>
        <v>70542.575587443192</v>
      </c>
    </row>
    <row r="33" spans="1:33">
      <c r="A33" s="153" t="s">
        <v>25</v>
      </c>
      <c r="B33" s="137">
        <f>'Sch AL-TOU Cust Fcst'!$B32*'Non-Residential TSM UC Adj'!J33</f>
        <v>0</v>
      </c>
      <c r="C33" s="23">
        <f>'Sch AL-TOU Cust Fcst'!$B32*'Non-Residential TSM UC Adj'!K33</f>
        <v>0</v>
      </c>
      <c r="D33" s="23">
        <f>'Sch AL-TOU Cust Fcst'!$B32*'Non-Residential TSM UC Adj'!L33</f>
        <v>0</v>
      </c>
      <c r="E33" s="45">
        <f>IF(SUM(B33:D33)=0,0,SUM(B33:D33)/'Sch AL-TOU Cust Fcst'!B32)</f>
        <v>0</v>
      </c>
      <c r="F33" s="137">
        <f>'Sch AL-TOU Cust Fcst'!$C32*'Non-Residential TSM UC Adj'!J33</f>
        <v>0</v>
      </c>
      <c r="G33" s="23">
        <f>'Sch AL-TOU Cust Fcst'!$C32*'Non-Residential TSM UC Adj'!K33</f>
        <v>0</v>
      </c>
      <c r="H33" s="23">
        <f>'Sch AL-TOU Cust Fcst'!$C32*'Non-Residential TSM UC Adj'!L33</f>
        <v>0</v>
      </c>
      <c r="I33" s="45">
        <f>IF(SUM(F33:H33)=0,0,SUM(F33:H33)/'Sch AL-TOU Cust Fcst'!C32)</f>
        <v>0</v>
      </c>
      <c r="J33" s="137">
        <f>'Sch AL-TOU Cust Fcst'!$D32*'Non-Residential TSM UC Adj'!J33</f>
        <v>0</v>
      </c>
      <c r="K33" s="23">
        <f>'Sch AL-TOU Cust Fcst'!$D32*'Non-Residential TSM UC Adj'!K33</f>
        <v>0</v>
      </c>
      <c r="L33" s="23">
        <f>'Sch AL-TOU Cust Fcst'!$D32*'Non-Residential TSM UC Adj'!L33</f>
        <v>0</v>
      </c>
      <c r="M33" s="45">
        <f>IF(SUM(J33:L33)=0,0,SUM(J33:L33)/'Sch AL-TOU Cust Fcst'!D32)</f>
        <v>0</v>
      </c>
      <c r="N33" s="137">
        <f>'Sch AL-TOU Cust Fcst'!$E32*'Non-Residential TSM UC Adj'!N33</f>
        <v>110216.80587431816</v>
      </c>
      <c r="O33" s="23">
        <f>'Sch AL-TOU Cust Fcst'!$E32*'Non-Residential TSM UC Adj'!O33</f>
        <v>75988.584122130022</v>
      </c>
      <c r="P33" s="23">
        <f>'Sch AL-TOU Cust Fcst'!$E32*'Non-Residential TSM UC Adj'!P33</f>
        <v>1731.3517005829883</v>
      </c>
      <c r="Q33" s="45">
        <f>IF(SUM(N33:P33)=0,0,SUM(N33:P33)/'Sch AL-TOU Cust Fcst'!E32)</f>
        <v>93968.37084851558</v>
      </c>
      <c r="R33" s="137">
        <f t="shared" si="2"/>
        <v>110216.80587431816</v>
      </c>
      <c r="S33" s="23">
        <f t="shared" si="2"/>
        <v>75988.584122130022</v>
      </c>
      <c r="T33" s="23">
        <f t="shared" si="2"/>
        <v>1731.3517005829883</v>
      </c>
      <c r="U33" s="45">
        <f>IF(SUM(R33:T33)=0,0,SUM(R33:T33)/'Sch AL-TOU Cust Fcst'!F32)</f>
        <v>93968.37084851558</v>
      </c>
      <c r="V33" s="37">
        <f>'Sch AL-TOU Cust Fcst'!$G32*'Non-Residential TSM UC Adj'!R33</f>
        <v>0</v>
      </c>
      <c r="W33" s="37">
        <f>'Sch AL-TOU Cust Fcst'!$G32*'Non-Residential TSM UC Adj'!S33</f>
        <v>69956.357270399414</v>
      </c>
      <c r="X33" s="37">
        <f>'Sch AL-TOU Cust Fcst'!$G32*'Non-Residential TSM UC Adj'!T33</f>
        <v>8710.3947451734384</v>
      </c>
      <c r="Y33" s="45">
        <f>IF(SUM(V33:X33)=0,0,SUM(V33:X33)/'Sch AL-TOU Cust Fcst'!G32)</f>
        <v>8740.7502239525402</v>
      </c>
      <c r="Z33" s="37">
        <f>'Sch AL-TOU Cust Fcst'!$H32*'Non-Residential TSM UC Adj'!R33</f>
        <v>0</v>
      </c>
      <c r="AA33" s="37">
        <f>'Sch AL-TOU Cust Fcst'!$H32*'Non-Residential TSM UC Adj'!W33</f>
        <v>0</v>
      </c>
      <c r="AB33" s="37">
        <f>'Sch AL-TOU Cust Fcst'!$H32*'Non-Residential TSM UC Adj'!X33</f>
        <v>0</v>
      </c>
      <c r="AC33" s="45">
        <f>IF(SUM(Z33:AB33)=0,0,SUM(Z33:AB33)/'Sch AL-TOU Cust Fcst'!H32)</f>
        <v>0</v>
      </c>
      <c r="AD33" s="23">
        <f t="shared" si="3"/>
        <v>110216.80587431816</v>
      </c>
      <c r="AE33" s="23">
        <f t="shared" si="4"/>
        <v>145944.94139252944</v>
      </c>
      <c r="AF33" s="23">
        <f t="shared" si="5"/>
        <v>10441.746445756427</v>
      </c>
      <c r="AG33" s="45">
        <f>IF(SUM(AD33:AF33)=0,0,SUM(AD33:AF33)/'Sch AL-TOU Cust Fcst'!I32)</f>
        <v>24236.681246600361</v>
      </c>
    </row>
    <row r="34" spans="1:33">
      <c r="A34" s="153" t="s">
        <v>125</v>
      </c>
      <c r="B34" s="137">
        <f>'Sch AL-TOU Cust Fcst'!$B33*'Non-Residential TSM UC Adj'!J34</f>
        <v>0</v>
      </c>
      <c r="C34" s="23">
        <f>'Sch AL-TOU Cust Fcst'!$B33*'Non-Residential TSM UC Adj'!K34</f>
        <v>0</v>
      </c>
      <c r="D34" s="23">
        <f>'Sch AL-TOU Cust Fcst'!$B33*'Non-Residential TSM UC Adj'!L34</f>
        <v>0</v>
      </c>
      <c r="E34" s="45">
        <f>IF(SUM(B34:D34)=0,0,SUM(B34:D34)/'Sch AL-TOU Cust Fcst'!B33)</f>
        <v>0</v>
      </c>
      <c r="F34" s="137">
        <f>'Sch AL-TOU Cust Fcst'!$C33*'Non-Residential TSM UC Adj'!J34</f>
        <v>0</v>
      </c>
      <c r="G34" s="23">
        <f>'Sch AL-TOU Cust Fcst'!$C33*'Non-Residential TSM UC Adj'!K34</f>
        <v>0</v>
      </c>
      <c r="H34" s="23">
        <f>'Sch AL-TOU Cust Fcst'!$C33*'Non-Residential TSM UC Adj'!L34</f>
        <v>0</v>
      </c>
      <c r="I34" s="45">
        <f>IF(SUM(F34:H34)=0,0,SUM(F34:H34)/'Sch AL-TOU Cust Fcst'!C33)</f>
        <v>0</v>
      </c>
      <c r="J34" s="137">
        <f>'Sch AL-TOU Cust Fcst'!$D33*'Non-Residential TSM UC Adj'!J34</f>
        <v>0</v>
      </c>
      <c r="K34" s="23">
        <f>'Sch AL-TOU Cust Fcst'!$D33*'Non-Residential TSM UC Adj'!K34</f>
        <v>0</v>
      </c>
      <c r="L34" s="23">
        <f>'Sch AL-TOU Cust Fcst'!$D33*'Non-Residential TSM UC Adj'!L34</f>
        <v>0</v>
      </c>
      <c r="M34" s="45">
        <f>IF(SUM(J34:L34)=0,0,SUM(J34:L34)/'Sch AL-TOU Cust Fcst'!D33)</f>
        <v>0</v>
      </c>
      <c r="N34" s="137">
        <f>'Sch AL-TOU Cust Fcst'!$E33*'Non-Residential TSM UC Adj'!N34</f>
        <v>110216.80587431816</v>
      </c>
      <c r="O34" s="23">
        <f>'Sch AL-TOU Cust Fcst'!$E33*'Non-Residential TSM UC Adj'!O34</f>
        <v>75988.584122130022</v>
      </c>
      <c r="P34" s="23">
        <f>'Sch AL-TOU Cust Fcst'!$E33*'Non-Residential TSM UC Adj'!P34</f>
        <v>1731.3517005829883</v>
      </c>
      <c r="Q34" s="45">
        <f>IF(SUM(N34:P34)=0,0,SUM(N34:P34)/'Sch AL-TOU Cust Fcst'!E33)</f>
        <v>93968.37084851558</v>
      </c>
      <c r="R34" s="137">
        <f t="shared" si="2"/>
        <v>110216.80587431816</v>
      </c>
      <c r="S34" s="23">
        <f t="shared" si="2"/>
        <v>75988.584122130022</v>
      </c>
      <c r="T34" s="23">
        <f t="shared" si="2"/>
        <v>1731.3517005829883</v>
      </c>
      <c r="U34" s="45">
        <f>IF(SUM(R34:T34)=0,0,SUM(R34:T34)/'Sch AL-TOU Cust Fcst'!F33)</f>
        <v>93968.37084851558</v>
      </c>
      <c r="V34" s="37">
        <f>'Sch AL-TOU Cust Fcst'!$G33*'Non-Residential TSM UC Adj'!R34</f>
        <v>0</v>
      </c>
      <c r="W34" s="37">
        <f>'Sch AL-TOU Cust Fcst'!$G33*'Non-Residential TSM UC Adj'!S34</f>
        <v>147685.64312639876</v>
      </c>
      <c r="X34" s="37">
        <f>'Sch AL-TOU Cust Fcst'!$G33*'Non-Residential TSM UC Adj'!T34</f>
        <v>18388.611128699478</v>
      </c>
      <c r="Y34" s="45">
        <f>IF(SUM(V34:X34)=0,0,SUM(V34:X34)/'Sch AL-TOU Cust Fcst'!G33)</f>
        <v>8740.7502239525384</v>
      </c>
      <c r="Z34" s="37">
        <f>'Sch AL-TOU Cust Fcst'!$H33*'Non-Residential TSM UC Adj'!R34</f>
        <v>0</v>
      </c>
      <c r="AA34" s="37">
        <f>'Sch AL-TOU Cust Fcst'!$H33*'Non-Residential TSM UC Adj'!W34</f>
        <v>438980.44246178126</v>
      </c>
      <c r="AB34" s="37">
        <f>'Sch AL-TOU Cust Fcst'!$H33*'Non-Residential TSM UC Adj'!X34</f>
        <v>2903.4649150578125</v>
      </c>
      <c r="AC34" s="45">
        <f>IF(SUM(Z34:AB34)=0,0,SUM(Z34:AB34)/'Sch AL-TOU Cust Fcst'!H33)</f>
        <v>147294.6357922797</v>
      </c>
      <c r="AD34" s="23">
        <f t="shared" si="3"/>
        <v>110216.80587431816</v>
      </c>
      <c r="AE34" s="23">
        <f t="shared" si="4"/>
        <v>662654.66971031006</v>
      </c>
      <c r="AF34" s="23">
        <f t="shared" si="5"/>
        <v>23023.427744340279</v>
      </c>
      <c r="AG34" s="45">
        <f>IF(SUM(AD34:AF34)=0,0,SUM(AD34:AF34)/'Sch AL-TOU Cust Fcst'!I33)</f>
        <v>33162.287638707021</v>
      </c>
    </row>
    <row r="35" spans="1:33">
      <c r="A35" s="153" t="s">
        <v>126</v>
      </c>
      <c r="B35" s="137">
        <f>'Sch AL-TOU Cust Fcst'!$B34*'Non-Residential TSM UC Adj'!J35</f>
        <v>0</v>
      </c>
      <c r="C35" s="23">
        <f>'Sch AL-TOU Cust Fcst'!$B34*'Non-Residential TSM UC Adj'!K35</f>
        <v>0</v>
      </c>
      <c r="D35" s="23">
        <f>'Sch AL-TOU Cust Fcst'!$B34*'Non-Residential TSM UC Adj'!L35</f>
        <v>0</v>
      </c>
      <c r="E35" s="45">
        <f>IF(SUM(B35:D35)=0,0,SUM(B35:D35)/'Sch AL-TOU Cust Fcst'!B34)</f>
        <v>0</v>
      </c>
      <c r="F35" s="137">
        <f>'Sch AL-TOU Cust Fcst'!$C34*'Non-Residential TSM UC Adj'!J35</f>
        <v>0</v>
      </c>
      <c r="G35" s="23">
        <f>'Sch AL-TOU Cust Fcst'!$C34*'Non-Residential TSM UC Adj'!K35</f>
        <v>0</v>
      </c>
      <c r="H35" s="23">
        <f>'Sch AL-TOU Cust Fcst'!$C34*'Non-Residential TSM UC Adj'!L35</f>
        <v>0</v>
      </c>
      <c r="I35" s="45">
        <f>IF(SUM(F35:H35)=0,0,SUM(F35:H35)/'Sch AL-TOU Cust Fcst'!C34)</f>
        <v>0</v>
      </c>
      <c r="J35" s="137">
        <f>'Sch AL-TOU Cust Fcst'!$D34*'Non-Residential TSM UC Adj'!J35</f>
        <v>0</v>
      </c>
      <c r="K35" s="23">
        <f>'Sch AL-TOU Cust Fcst'!$D34*'Non-Residential TSM UC Adj'!K35</f>
        <v>0</v>
      </c>
      <c r="L35" s="23">
        <f>'Sch AL-TOU Cust Fcst'!$D34*'Non-Residential TSM UC Adj'!L35</f>
        <v>0</v>
      </c>
      <c r="M35" s="45">
        <f>IF(SUM(J35:L35)=0,0,SUM(J35:L35)/'Sch AL-TOU Cust Fcst'!D34)</f>
        <v>0</v>
      </c>
      <c r="N35" s="137">
        <f>'Sch AL-TOU Cust Fcst'!$E34*'Non-Residential TSM UC Adj'!N35</f>
        <v>0</v>
      </c>
      <c r="O35" s="23">
        <f>'Sch AL-TOU Cust Fcst'!$E34*'Non-Residential TSM UC Adj'!O35</f>
        <v>0</v>
      </c>
      <c r="P35" s="23">
        <f>'Sch AL-TOU Cust Fcst'!$E34*'Non-Residential TSM UC Adj'!P35</f>
        <v>0</v>
      </c>
      <c r="Q35" s="45">
        <f>IF(SUM(N35:P35)=0,0,SUM(N35:P35)/'Sch AL-TOU Cust Fcst'!E34)</f>
        <v>0</v>
      </c>
      <c r="R35" s="137">
        <f t="shared" si="2"/>
        <v>0</v>
      </c>
      <c r="S35" s="23">
        <f t="shared" si="2"/>
        <v>0</v>
      </c>
      <c r="T35" s="23">
        <f t="shared" si="2"/>
        <v>0</v>
      </c>
      <c r="U35" s="45">
        <f>IF(SUM(R35:T35)=0,0,SUM(R35:T35)/'Sch AL-TOU Cust Fcst'!F34)</f>
        <v>0</v>
      </c>
      <c r="V35" s="37">
        <f>'Sch AL-TOU Cust Fcst'!$G34*'Non-Residential TSM UC Adj'!R35</f>
        <v>0</v>
      </c>
      <c r="W35" s="37">
        <f>'Sch AL-TOU Cust Fcst'!$G34*'Non-Residential TSM UC Adj'!S35</f>
        <v>7772.9285855999342</v>
      </c>
      <c r="X35" s="37">
        <f>'Sch AL-TOU Cust Fcst'!$G34*'Non-Residential TSM UC Adj'!T35</f>
        <v>967.82163835260417</v>
      </c>
      <c r="Y35" s="45">
        <f>IF(SUM(V35:X35)=0,0,SUM(V35:X35)/'Sch AL-TOU Cust Fcst'!G34)</f>
        <v>8740.7502239525384</v>
      </c>
      <c r="Z35" s="37">
        <f>'Sch AL-TOU Cust Fcst'!$H34*'Non-Residential TSM UC Adj'!R35</f>
        <v>0</v>
      </c>
      <c r="AA35" s="37">
        <f>'Sch AL-TOU Cust Fcst'!$H34*'Non-Residential TSM UC Adj'!W35</f>
        <v>0</v>
      </c>
      <c r="AB35" s="37">
        <f>'Sch AL-TOU Cust Fcst'!$H34*'Non-Residential TSM UC Adj'!X35</f>
        <v>0</v>
      </c>
      <c r="AC35" s="45">
        <f>IF(SUM(Z35:AB35)=0,0,SUM(Z35:AB35)/'Sch AL-TOU Cust Fcst'!H34)</f>
        <v>0</v>
      </c>
      <c r="AD35" s="23">
        <f t="shared" si="3"/>
        <v>0</v>
      </c>
      <c r="AE35" s="23">
        <f t="shared" si="4"/>
        <v>7772.9285855999342</v>
      </c>
      <c r="AF35" s="23">
        <f t="shared" si="5"/>
        <v>967.82163835260417</v>
      </c>
      <c r="AG35" s="45">
        <f>IF(SUM(AD35:AF35)=0,0,SUM(AD35:AF35)/'Sch AL-TOU Cust Fcst'!I34)</f>
        <v>8740.7502239525384</v>
      </c>
    </row>
    <row r="36" spans="1:33">
      <c r="A36" s="155" t="s">
        <v>26</v>
      </c>
      <c r="B36" s="137">
        <f>'Sch AL-TOU Cust Fcst'!$B35*'Non-Residential TSM UC Adj'!J36</f>
        <v>0</v>
      </c>
      <c r="C36" s="23">
        <f>'Sch AL-TOU Cust Fcst'!$B35*'Non-Residential TSM UC Adj'!K36</f>
        <v>0</v>
      </c>
      <c r="D36" s="23">
        <f>'Sch AL-TOU Cust Fcst'!$B35*'Non-Residential TSM UC Adj'!L36</f>
        <v>0</v>
      </c>
      <c r="E36" s="45">
        <f>IF(SUM(B36:D36)=0,0,SUM(B36:D36)/'Sch AL-TOU Cust Fcst'!B35)</f>
        <v>0</v>
      </c>
      <c r="F36" s="137">
        <f>'Sch AL-TOU Cust Fcst'!$C35*'Non-Residential TSM UC Adj'!J36</f>
        <v>0</v>
      </c>
      <c r="G36" s="23">
        <f>'Sch AL-TOU Cust Fcst'!$C35*'Non-Residential TSM UC Adj'!K36</f>
        <v>0</v>
      </c>
      <c r="H36" s="23">
        <f>'Sch AL-TOU Cust Fcst'!$C35*'Non-Residential TSM UC Adj'!L36</f>
        <v>0</v>
      </c>
      <c r="I36" s="45">
        <f>IF(SUM(F36:H36)=0,0,SUM(F36:H36)/'Sch AL-TOU Cust Fcst'!C35)</f>
        <v>0</v>
      </c>
      <c r="J36" s="137">
        <f>'Sch AL-TOU Cust Fcst'!$D35*'Non-Residential TSM UC Adj'!J36</f>
        <v>0</v>
      </c>
      <c r="K36" s="23">
        <f>'Sch AL-TOU Cust Fcst'!$D35*'Non-Residential TSM UC Adj'!K36</f>
        <v>0</v>
      </c>
      <c r="L36" s="23">
        <f>'Sch AL-TOU Cust Fcst'!$D35*'Non-Residential TSM UC Adj'!L36</f>
        <v>0</v>
      </c>
      <c r="M36" s="45">
        <f>IF(SUM(J36:L36)=0,0,SUM(J36:L36)/'Sch AL-TOU Cust Fcst'!D35)</f>
        <v>0</v>
      </c>
      <c r="N36" s="137">
        <f>'Sch AL-TOU Cust Fcst'!$E35*'Non-Residential TSM UC Adj'!N36</f>
        <v>0</v>
      </c>
      <c r="O36" s="23">
        <f>'Sch AL-TOU Cust Fcst'!$E35*'Non-Residential TSM UC Adj'!O36</f>
        <v>0</v>
      </c>
      <c r="P36" s="23">
        <f>'Sch AL-TOU Cust Fcst'!$E35*'Non-Residential TSM UC Adj'!P36</f>
        <v>0</v>
      </c>
      <c r="Q36" s="45">
        <f>IF(SUM(N36:P36)=0,0,SUM(N36:P36)/'Sch AL-TOU Cust Fcst'!E35)</f>
        <v>0</v>
      </c>
      <c r="R36" s="137">
        <f t="shared" si="2"/>
        <v>0</v>
      </c>
      <c r="S36" s="23">
        <f t="shared" si="2"/>
        <v>0</v>
      </c>
      <c r="T36" s="23">
        <f t="shared" si="2"/>
        <v>0</v>
      </c>
      <c r="U36" s="45">
        <f>IF(SUM(R36:T36)=0,0,SUM(R36:T36)/'Sch AL-TOU Cust Fcst'!F35)</f>
        <v>0</v>
      </c>
      <c r="V36" s="37">
        <f>'Sch AL-TOU Cust Fcst'!$G35*'Non-Residential TSM UC Adj'!R36</f>
        <v>0</v>
      </c>
      <c r="W36" s="37">
        <f>'Sch AL-TOU Cust Fcst'!$G35*'Non-Residential TSM UC Adj'!S36</f>
        <v>15545.857171199868</v>
      </c>
      <c r="X36" s="37">
        <f>'Sch AL-TOU Cust Fcst'!$G35*'Non-Residential TSM UC Adj'!T36</f>
        <v>1935.6432767052083</v>
      </c>
      <c r="Y36" s="45">
        <f>IF(SUM(V36:X36)=0,0,SUM(V36:X36)/'Sch AL-TOU Cust Fcst'!G35)</f>
        <v>8740.7502239525384</v>
      </c>
      <c r="Z36" s="37">
        <f>'Sch AL-TOU Cust Fcst'!$H35*'Non-Residential TSM UC Adj'!R36</f>
        <v>0</v>
      </c>
      <c r="AA36" s="37">
        <f>'Sch AL-TOU Cust Fcst'!$H35*'Non-Residential TSM UC Adj'!W36</f>
        <v>146326.81415392709</v>
      </c>
      <c r="AB36" s="37">
        <f>'Sch AL-TOU Cust Fcst'!$H35*'Non-Residential TSM UC Adj'!X36</f>
        <v>967.82163835260417</v>
      </c>
      <c r="AC36" s="45">
        <f>IF(SUM(Z36:AB36)=0,0,SUM(Z36:AB36)/'Sch AL-TOU Cust Fcst'!H35)</f>
        <v>147294.6357922797</v>
      </c>
      <c r="AD36" s="23">
        <f t="shared" si="3"/>
        <v>0</v>
      </c>
      <c r="AE36" s="23">
        <f t="shared" si="4"/>
        <v>161872.67132512695</v>
      </c>
      <c r="AF36" s="23">
        <f t="shared" si="5"/>
        <v>2903.4649150578125</v>
      </c>
      <c r="AG36" s="45">
        <f>IF(SUM(AD36:AF36)=0,0,SUM(AD36:AF36)/'Sch AL-TOU Cust Fcst'!I35)</f>
        <v>54925.37874672826</v>
      </c>
    </row>
    <row r="37" spans="1:33">
      <c r="A37" s="155" t="s">
        <v>27</v>
      </c>
      <c r="B37" s="137">
        <f>'Sch AL-TOU Cust Fcst'!$B36*'Non-Residential TSM UC Adj'!J37</f>
        <v>0</v>
      </c>
      <c r="C37" s="23">
        <f>'Sch AL-TOU Cust Fcst'!$B36*'Non-Residential TSM UC Adj'!K37</f>
        <v>0</v>
      </c>
      <c r="D37" s="23">
        <f>'Sch AL-TOU Cust Fcst'!$B36*'Non-Residential TSM UC Adj'!L37</f>
        <v>0</v>
      </c>
      <c r="E37" s="45">
        <f>IF(SUM(B37:D37)=0,0,SUM(B37:D37)/'Sch AL-TOU Cust Fcst'!B36)</f>
        <v>0</v>
      </c>
      <c r="F37" s="137">
        <f>'Sch AL-TOU Cust Fcst'!$C36*'Non-Residential TSM UC Adj'!J37</f>
        <v>0</v>
      </c>
      <c r="G37" s="23">
        <f>'Sch AL-TOU Cust Fcst'!$C36*'Non-Residential TSM UC Adj'!K37</f>
        <v>0</v>
      </c>
      <c r="H37" s="23">
        <f>'Sch AL-TOU Cust Fcst'!$C36*'Non-Residential TSM UC Adj'!L37</f>
        <v>0</v>
      </c>
      <c r="I37" s="45">
        <f>IF(SUM(F37:H37)=0,0,SUM(F37:H37)/'Sch AL-TOU Cust Fcst'!C36)</f>
        <v>0</v>
      </c>
      <c r="J37" s="137">
        <f>'Sch AL-TOU Cust Fcst'!$D36*'Non-Residential TSM UC Adj'!J37</f>
        <v>0</v>
      </c>
      <c r="K37" s="23">
        <f>'Sch AL-TOU Cust Fcst'!$D36*'Non-Residential TSM UC Adj'!K37</f>
        <v>0</v>
      </c>
      <c r="L37" s="23">
        <f>'Sch AL-TOU Cust Fcst'!$D36*'Non-Residential TSM UC Adj'!L37</f>
        <v>0</v>
      </c>
      <c r="M37" s="45">
        <f>IF(SUM(J37:L37)=0,0,SUM(J37:L37)/'Sch AL-TOU Cust Fcst'!D36)</f>
        <v>0</v>
      </c>
      <c r="N37" s="137">
        <f>'Sch AL-TOU Cust Fcst'!$E36*'Non-Residential TSM UC Adj'!N37</f>
        <v>0</v>
      </c>
      <c r="O37" s="23">
        <f>'Sch AL-TOU Cust Fcst'!$E36*'Non-Residential TSM UC Adj'!O37</f>
        <v>0</v>
      </c>
      <c r="P37" s="23">
        <f>'Sch AL-TOU Cust Fcst'!$E36*'Non-Residential TSM UC Adj'!P37</f>
        <v>0</v>
      </c>
      <c r="Q37" s="45">
        <f>IF(SUM(N37:P37)=0,0,SUM(N37:P37)/'Sch AL-TOU Cust Fcst'!E36)</f>
        <v>0</v>
      </c>
      <c r="R37" s="137">
        <f t="shared" si="2"/>
        <v>0</v>
      </c>
      <c r="S37" s="23">
        <f t="shared" si="2"/>
        <v>0</v>
      </c>
      <c r="T37" s="23">
        <f t="shared" si="2"/>
        <v>0</v>
      </c>
      <c r="U37" s="45">
        <f>IF(SUM(R37:T37)=0,0,SUM(R37:T37)/'Sch AL-TOU Cust Fcst'!F36)</f>
        <v>0</v>
      </c>
      <c r="V37" s="37">
        <f>'Sch AL-TOU Cust Fcst'!$G36*'Non-Residential TSM UC Adj'!R37</f>
        <v>0</v>
      </c>
      <c r="W37" s="37">
        <f>'Sch AL-TOU Cust Fcst'!$G36*'Non-Residential TSM UC Adj'!S37</f>
        <v>0</v>
      </c>
      <c r="X37" s="37">
        <f>'Sch AL-TOU Cust Fcst'!$G36*'Non-Residential TSM UC Adj'!T37</f>
        <v>0</v>
      </c>
      <c r="Y37" s="45">
        <f>IF(SUM(V37:X37)=0,0,SUM(V37:X37)/'Sch AL-TOU Cust Fcst'!G36)</f>
        <v>0</v>
      </c>
      <c r="Z37" s="37">
        <f>'Sch AL-TOU Cust Fcst'!$H36*'Non-Residential TSM UC Adj'!R37</f>
        <v>0</v>
      </c>
      <c r="AA37" s="37">
        <f>'Sch AL-TOU Cust Fcst'!$H36*'Non-Residential TSM UC Adj'!W37</f>
        <v>0</v>
      </c>
      <c r="AB37" s="37">
        <f>'Sch AL-TOU Cust Fcst'!$H36*'Non-Residential TSM UC Adj'!X37</f>
        <v>0</v>
      </c>
      <c r="AC37" s="45">
        <f>IF(SUM(Z37:AB37)=0,0,SUM(Z37:AB37)/'Sch AL-TOU Cust Fcst'!H36)</f>
        <v>0</v>
      </c>
      <c r="AD37" s="23">
        <f t="shared" si="3"/>
        <v>0</v>
      </c>
      <c r="AE37" s="23">
        <f t="shared" si="4"/>
        <v>0</v>
      </c>
      <c r="AF37" s="23">
        <f t="shared" si="5"/>
        <v>0</v>
      </c>
      <c r="AG37" s="45">
        <f>IF(SUM(AD37:AF37)=0,0,SUM(AD37:AF37)/'Sch AL-TOU Cust Fcst'!I36)</f>
        <v>0</v>
      </c>
    </row>
    <row r="38" spans="1:33" ht="13.5" thickBot="1">
      <c r="A38" s="11"/>
      <c r="B38" s="137"/>
      <c r="C38" s="23"/>
      <c r="D38" s="23"/>
      <c r="E38" s="45"/>
      <c r="F38" s="137"/>
      <c r="G38" s="23"/>
      <c r="H38" s="23"/>
      <c r="I38" s="45"/>
      <c r="J38" s="137"/>
      <c r="K38" s="23"/>
      <c r="L38" s="23"/>
      <c r="M38" s="45"/>
      <c r="N38" s="137"/>
      <c r="O38" s="23"/>
      <c r="P38" s="23"/>
      <c r="Q38" s="45"/>
      <c r="R38" s="137"/>
      <c r="S38" s="23"/>
      <c r="T38" s="23"/>
      <c r="U38" s="45"/>
      <c r="V38" s="23"/>
      <c r="W38" s="23"/>
      <c r="X38" s="23"/>
      <c r="Y38" s="14"/>
      <c r="Z38" s="135"/>
      <c r="AA38" s="13"/>
      <c r="AB38" s="13"/>
      <c r="AC38" s="14"/>
      <c r="AD38" s="23"/>
      <c r="AE38" s="23"/>
      <c r="AF38" s="23"/>
      <c r="AG38" s="14"/>
    </row>
    <row r="39" spans="1:33" ht="13.5" thickBot="1">
      <c r="A39" s="245" t="s">
        <v>2</v>
      </c>
      <c r="B39" s="317">
        <f>IF(SUM(B$7:B$37)=0,0,SUM(B$7:B$37)/'Sch AL-TOU Cust Fcst'!$B38)</f>
        <v>3116.5938140669591</v>
      </c>
      <c r="C39" s="318">
        <f>IF(SUM(C$7:C$37)=0,0,SUM(C$7:C$37)/'Sch AL-TOU Cust Fcst'!$B38)</f>
        <v>312.59547302625833</v>
      </c>
      <c r="D39" s="318">
        <f>IF(SUM(D$7:D$37)=0,0,SUM(D$7:D$37)/'Sch AL-TOU Cust Fcst'!$B38)</f>
        <v>234.29973156037588</v>
      </c>
      <c r="E39" s="319">
        <f>SUM(B39:D39)</f>
        <v>3663.4890186535931</v>
      </c>
      <c r="F39" s="317">
        <f>IF(SUM(F$7:F$37)=0,0,SUM(F$7:F$37)/'Sch AL-TOU Cust Fcst'!$C38)</f>
        <v>12296.332238150608</v>
      </c>
      <c r="G39" s="318">
        <f>IF(SUM(G$7:G$37)=0,0,SUM(G$7:G$37)/'Sch AL-TOU Cust Fcst'!$C38)</f>
        <v>1156.4783823685493</v>
      </c>
      <c r="H39" s="318">
        <f>IF(SUM(H$7:H$37)=0,0,SUM(H$7:H$37)/'Sch AL-TOU Cust Fcst'!$C38)</f>
        <v>325.41143627403727</v>
      </c>
      <c r="I39" s="319">
        <f>SUM(F39:H39)</f>
        <v>13778.222056793194</v>
      </c>
      <c r="J39" s="317">
        <f>IF(SUM(J$7:J$37)=0,0,SUM(J$7:J$37)/'Sch AL-TOU Cust Fcst'!$D38)</f>
        <v>12868.943729897859</v>
      </c>
      <c r="K39" s="318">
        <f>IF(SUM(K$7:K$37)=0,0,SUM(K$7:K$37)/'Sch AL-TOU Cust Fcst'!$D38)</f>
        <v>1451.1585526715207</v>
      </c>
      <c r="L39" s="318">
        <f>IF(SUM(L$7:L$37)=0,0,SUM(L$7:L$37)/'Sch AL-TOU Cust Fcst'!$D38)</f>
        <v>383.21346809036811</v>
      </c>
      <c r="M39" s="319">
        <f>SUM(J39:L39)</f>
        <v>14703.315750659747</v>
      </c>
      <c r="N39" s="317">
        <f>IF(SUM(N$7:N$37)=0,0,SUM(N$7:N$37)/'Sch AL-TOU Cust Fcst'!$E38)</f>
        <v>11856.543490601291</v>
      </c>
      <c r="O39" s="318">
        <f>IF(SUM(O$7:O$37)=0,0,SUM(O$7:O$37)/'Sch AL-TOU Cust Fcst'!$E38)</f>
        <v>2132.7257448362438</v>
      </c>
      <c r="P39" s="318">
        <f>IF(SUM(P$7:P$37)=0,0,SUM(P$7:P$37)/'Sch AL-TOU Cust Fcst'!$E38)</f>
        <v>578.83752586150558</v>
      </c>
      <c r="Q39" s="319">
        <f>SUM(N39:P39)</f>
        <v>14568.106761299039</v>
      </c>
      <c r="R39" s="317">
        <f>IF(SUM(R$7:R$37)=0,0,SUM(R$7:R$37)/'Sch AL-TOU Cust Fcst'!$F38)</f>
        <v>11732.547826781311</v>
      </c>
      <c r="S39" s="318">
        <f>IF(SUM(S$7:S$37)=0,0,SUM(S$7:S$37)/'Sch AL-TOU Cust Fcst'!$F38)</f>
        <v>1573.710235681729</v>
      </c>
      <c r="T39" s="318">
        <f>IF(SUM(T$7:T$37)=0,0,SUM(T$7:T$37)/'Sch AL-TOU Cust Fcst'!$F38)</f>
        <v>433.81300265789321</v>
      </c>
      <c r="U39" s="319">
        <f>SUM(R39:T39)</f>
        <v>13740.071065120932</v>
      </c>
      <c r="V39" s="317">
        <f>IF(SUM(V$7:V$37)=0,0,SUM(V$7:V$37)/'Sch AL-TOU Cust Fcst'!$G38)</f>
        <v>0</v>
      </c>
      <c r="W39" s="318">
        <f>IF(SUM(W$7:W$37)=0,0,SUM(W$7:W$37)/'Sch AL-TOU Cust Fcst'!$G38)</f>
        <v>3797.0251969447654</v>
      </c>
      <c r="X39" s="318">
        <f>IF(SUM(X$7:X$37)=0,0,SUM(X$7:X$37)/'Sch AL-TOU Cust Fcst'!$G38)</f>
        <v>958.42892220905389</v>
      </c>
      <c r="Y39" s="319">
        <f>SUM(V39:X39)</f>
        <v>4755.4541191538192</v>
      </c>
      <c r="Z39" s="317">
        <f>IF(SUM(Z$7:Z$37)=0,0,SUM(Z$7:Z$37)/'Sch AL-TOU Cust Fcst'!$H38)</f>
        <v>0</v>
      </c>
      <c r="AA39" s="318">
        <f>IF(SUM(AA$7:AA$37)=0,0,SUM(AA$7:AA$37)/'Sch AL-TOU Cust Fcst'!$H38)</f>
        <v>88056.577322018376</v>
      </c>
      <c r="AB39" s="318">
        <f>IF(SUM(AB$7:AB$37)=0,0,SUM(AB$7:AB$37)/'Sch AL-TOU Cust Fcst'!$H38)</f>
        <v>967.82163835260451</v>
      </c>
      <c r="AC39" s="319">
        <f>SUM(Z39:AB39)</f>
        <v>89024.398960370978</v>
      </c>
      <c r="AD39" s="317">
        <f>IF(SUM(AD$7:AD$37)=0,0,SUM(AD$7:AD$37)/'Sch AL-TOU Cust Fcst'!$I38)</f>
        <v>11491.495143240165</v>
      </c>
      <c r="AE39" s="318">
        <f>IF(SUM(AE$7:AE$37)=0,0,SUM(AE$7:AE$37)/'Sch AL-TOU Cust Fcst'!$I38)</f>
        <v>1704.5289857700636</v>
      </c>
      <c r="AF39" s="318">
        <f>IF(SUM(AF$7:AF$37)=0,0,SUM(AF$7:AF$37)/'Sch AL-TOU Cust Fcst'!$I38)</f>
        <v>444.60106235511512</v>
      </c>
      <c r="AG39" s="319">
        <f>SUM(AD39:AF39)</f>
        <v>13640.625191365343</v>
      </c>
    </row>
    <row r="40" spans="1:33">
      <c r="A40" s="21" t="s">
        <v>185</v>
      </c>
      <c r="B40" s="137">
        <f>IF(SUM(B$7:B$20)=0,0,SUM(B$7:B$20)/'Sch AL-TOU Cust Fcst'!$B39)</f>
        <v>3116.5938140669591</v>
      </c>
      <c r="C40" s="23">
        <f>IF(SUM(C$7:C$20)=0,0,SUM(C$7:C$20)/'Sch AL-TOU Cust Fcst'!$B39)</f>
        <v>312.59547302625833</v>
      </c>
      <c r="D40" s="23">
        <f>IF(SUM(D$7:D$20)=0,0,SUM(D$7:D$20)/'Sch AL-TOU Cust Fcst'!$B39)</f>
        <v>234.29973156037588</v>
      </c>
      <c r="E40" s="45">
        <f>SUM(B40:D40)</f>
        <v>3663.4890186535931</v>
      </c>
      <c r="F40" s="137">
        <f>IF(SUM(F$7:F$20)=0,0,SUM(F$7:F$20)/'Sch AL-TOU Cust Fcst'!$C39)</f>
        <v>12267.184366056908</v>
      </c>
      <c r="G40" s="23">
        <f>IF(SUM(G$7:G$20)=0,0,SUM(G$7:G$20)/'Sch AL-TOU Cust Fcst'!$C39)</f>
        <v>1116.8251921869601</v>
      </c>
      <c r="H40" s="23">
        <f>IF(SUM(H$7:H$20)=0,0,SUM(H$7:H$20)/'Sch AL-TOU Cust Fcst'!$C39)</f>
        <v>324.82988146885162</v>
      </c>
      <c r="I40" s="45">
        <f>SUM(F40:H40)</f>
        <v>13708.839439712719</v>
      </c>
      <c r="J40" s="137">
        <f>IF(SUM(J$7:J$20)=0,0,SUM(J$7:J$20)/'Sch AL-TOU Cust Fcst'!$D39)</f>
        <v>12846.017499428975</v>
      </c>
      <c r="K40" s="23">
        <f>IF(SUM(K$7:K$20)=0,0,SUM(K$7:K$20)/'Sch AL-TOU Cust Fcst'!$D39)</f>
        <v>1434.678598065738</v>
      </c>
      <c r="L40" s="23">
        <f>IF(SUM(L$7:L$20)=0,0,SUM(L$7:L$20)/'Sch AL-TOU Cust Fcst'!$D39)</f>
        <v>382.69480287621951</v>
      </c>
      <c r="M40" s="45">
        <f>SUM(J40:L40)</f>
        <v>14663.390900370934</v>
      </c>
      <c r="N40" s="137">
        <f>IF(SUM(N$7:N$20)=0,0,SUM(N$7:N$20)/'Sch AL-TOU Cust Fcst'!$E39)</f>
        <v>10122.993397781653</v>
      </c>
      <c r="O40" s="23">
        <f>IF(SUM(O$7:O$20)=0,0,SUM(O$7:O$20)/'Sch AL-TOU Cust Fcst'!$E39)</f>
        <v>1581.802733964706</v>
      </c>
      <c r="P40" s="23">
        <f>IF(SUM(P$7:P$20)=0,0,SUM(P$7:P$20)/'Sch AL-TOU Cust Fcst'!$E39)</f>
        <v>554.10640031009325</v>
      </c>
      <c r="Q40" s="45">
        <f>SUM(N40:P40)</f>
        <v>12258.902532056452</v>
      </c>
      <c r="R40" s="137">
        <f>IF(SUM(R$7:R$20)=0,0,SUM(R$7:R$20)/'Sch AL-TOU Cust Fcst'!$F39)</f>
        <v>11165.86702654393</v>
      </c>
      <c r="S40" s="23">
        <f>IF(SUM(S$7:S$20)=0,0,SUM(S$7:S$20)/'Sch AL-TOU Cust Fcst'!$F39)</f>
        <v>1373.0638145755099</v>
      </c>
      <c r="T40" s="23">
        <f>IF(SUM(T$7:T$20)=0,0,SUM(T$7:T$20)/'Sch AL-TOU Cust Fcst'!$F39)</f>
        <v>421.75320592298544</v>
      </c>
      <c r="U40" s="45">
        <f>SUM(R40:T40)</f>
        <v>12960.684047042425</v>
      </c>
      <c r="V40" s="137">
        <f>IF(SUM(V$7:V$20)=0,0,SUM(V$7:V$20)/'Sch AL-TOU Cust Fcst'!$G39)</f>
        <v>0</v>
      </c>
      <c r="W40" s="23">
        <f>IF(SUM(W$7:W$20)=0,0,SUM(W$7:W$20)/'Sch AL-TOU Cust Fcst'!$G39)</f>
        <v>3129.9273129422195</v>
      </c>
      <c r="X40" s="23">
        <f>IF(SUM(X$7:X$20)=0,0,SUM(X$7:X$20)/'Sch AL-TOU Cust Fcst'!$G39)</f>
        <v>947.1338838085818</v>
      </c>
      <c r="Y40" s="45">
        <f>SUM(V40:X40)</f>
        <v>4077.0611967508012</v>
      </c>
      <c r="Z40" s="137">
        <f>IF(SUM(Z$7:Z$20)=0,0,SUM(Z$7:Z$20)/'Sch AL-TOU Cust Fcst'!$H39)</f>
        <v>0</v>
      </c>
      <c r="AA40" s="23">
        <f>IF(SUM(AA$7:AA$20)=0,0,SUM(AA$7:AA$20)/'Sch AL-TOU Cust Fcst'!$H39)</f>
        <v>58921.458906063985</v>
      </c>
      <c r="AB40" s="23">
        <f>IF(SUM(AB$7:AB$20)=0,0,SUM(AB$7:AB$20)/'Sch AL-TOU Cust Fcst'!$H39)</f>
        <v>967.82163835260417</v>
      </c>
      <c r="AC40" s="45">
        <f>SUM(Z40:AB40)</f>
        <v>59889.280544416586</v>
      </c>
      <c r="AD40" s="137">
        <f>IF(SUM(AD$7:AD$20)=0,0,SUM(AD$7:AD$20)/'Sch AL-TOU Cust Fcst'!$I39)</f>
        <v>11058.371369890698</v>
      </c>
      <c r="AE40" s="23">
        <f>IF(SUM(AE$7:AE$20)=0,0,SUM(AE$7:AE$20)/'Sch AL-TOU Cust Fcst'!$I39)</f>
        <v>1412.7641003787867</v>
      </c>
      <c r="AF40" s="23">
        <f>IF(SUM(AF$7:AF$20)=0,0,SUM(AF$7:AF$20)/'Sch AL-TOU Cust Fcst'!$I39)</f>
        <v>426.81958238210973</v>
      </c>
      <c r="AG40" s="45">
        <f>SUM(AD40:AF40)</f>
        <v>12897.955052651594</v>
      </c>
    </row>
    <row r="41" spans="1:33">
      <c r="A41" s="153" t="s">
        <v>139</v>
      </c>
      <c r="B41" s="137">
        <f>IF(SUM(B$21:B$34)=0,0,SUM(B$21:B$34)/'Sch AL-TOU Cust Fcst'!$B40)</f>
        <v>0</v>
      </c>
      <c r="C41" s="23">
        <f>IF(SUM(C$21:C$34)=0,0,SUM(C$21:C$34)/'Sch AL-TOU Cust Fcst'!$B40)</f>
        <v>0</v>
      </c>
      <c r="D41" s="23">
        <f>IF(SUM(D$21:D$34)=0,0,SUM(D$21:D$34)/'Sch AL-TOU Cust Fcst'!$B40)</f>
        <v>0</v>
      </c>
      <c r="E41" s="45">
        <f>SUM(B41:D41)</f>
        <v>0</v>
      </c>
      <c r="F41" s="137">
        <f>IF(SUM(F$21:F$34)=0,0,SUM(F$21:F$34)/'Sch AL-TOU Cust Fcst'!$C40)</f>
        <v>39374.705413198702</v>
      </c>
      <c r="G41" s="23">
        <f>IF(SUM(G$21:G$34)=0,0,SUM(G$21:G$34)/'Sch AL-TOU Cust Fcst'!$C40)</f>
        <v>37994.292061065011</v>
      </c>
      <c r="H41" s="23">
        <f>IF(SUM(H$21:H$34)=0,0,SUM(H$21:H$34)/'Sch AL-TOU Cust Fcst'!$C40)</f>
        <v>865.67585029149416</v>
      </c>
      <c r="I41" s="45">
        <f>SUM(F41:H41)</f>
        <v>78234.673324555202</v>
      </c>
      <c r="J41" s="137">
        <f>IF(SUM(J$21:J$34)=0,0,SUM(J$21:J$34)/'Sch AL-TOU Cust Fcst'!$D40)</f>
        <v>34194.923312054641</v>
      </c>
      <c r="K41" s="23">
        <f>IF(SUM(K$21:K$34)=0,0,SUM(K$21:K$34)/'Sch AL-TOU Cust Fcst'!$D40)</f>
        <v>16780.812326970379</v>
      </c>
      <c r="L41" s="23">
        <f>IF(SUM(L$21:L$34)=0,0,SUM(L$21:L$34)/'Sch AL-TOU Cust Fcst'!$D40)</f>
        <v>865.67585029149416</v>
      </c>
      <c r="M41" s="45">
        <f>SUM(J41:L41)</f>
        <v>51841.411489316517</v>
      </c>
      <c r="N41" s="137">
        <f>IF(SUM(N$21:N$34)=0,0,SUM(N$21:N$34)/'Sch AL-TOU Cust Fcst'!$E40)</f>
        <v>31962.729232375485</v>
      </c>
      <c r="O41" s="23">
        <f>IF(SUM(O$21:O$34)=0,0,SUM(O$21:O$34)/'Sch AL-TOU Cust Fcst'!$E40)</f>
        <v>8522.4807521367948</v>
      </c>
      <c r="P41" s="23">
        <f>IF(SUM(P$21:P$34)=0,0,SUM(P$21:P$34)/'Sch AL-TOU Cust Fcst'!$E40)</f>
        <v>865.67585029149427</v>
      </c>
      <c r="Q41" s="45">
        <f>SUM(N41:P41)</f>
        <v>41350.885834803776</v>
      </c>
      <c r="R41" s="137">
        <f>IF(SUM(R$21:R$34)=0,0,SUM(R$21:R$34)/'Sch AL-TOU Cust Fcst'!$F40)</f>
        <v>32025.459015028682</v>
      </c>
      <c r="S41" s="23">
        <f>IF(SUM(S$21:S$34)=0,0,SUM(S$21:S$34)/'Sch AL-TOU Cust Fcst'!$F40)</f>
        <v>8758.883973776592</v>
      </c>
      <c r="T41" s="23">
        <f>IF(SUM(T$21:T$34)=0,0,SUM(T$21:T$34)/'Sch AL-TOU Cust Fcst'!$F40)</f>
        <v>865.67585029149438</v>
      </c>
      <c r="U41" s="45">
        <f>SUM(R41:T41)</f>
        <v>41650.018839096774</v>
      </c>
      <c r="V41" s="137">
        <f>IF(SUM(V$21:V$34)=0,0,SUM(V$21:V$34)/'Sch AL-TOU Cust Fcst'!$G40)</f>
        <v>0</v>
      </c>
      <c r="W41" s="23">
        <f>IF(SUM(W$21:W$34)=0,0,SUM(W$21:W$34)/'Sch AL-TOU Cust Fcst'!$G40)</f>
        <v>4296.8848520594001</v>
      </c>
      <c r="X41" s="23">
        <f>IF(SUM(X$21:X$34)=0,0,SUM(X$21:X$34)/'Sch AL-TOU Cust Fcst'!$G40)</f>
        <v>967.82163835260417</v>
      </c>
      <c r="Y41" s="45">
        <f>SUM(V41:X41)</f>
        <v>5264.7064904120043</v>
      </c>
      <c r="Z41" s="137">
        <f>IF(SUM(Z$21:Z$34)=0,0,SUM(Z$21:Z$34)/'Sch AL-TOU Cust Fcst'!$H40)</f>
        <v>0</v>
      </c>
      <c r="AA41" s="23">
        <f>IF(SUM(AA$21:AA$34)=0,0,SUM(AA$21:AA$34)/'Sch AL-TOU Cust Fcst'!$H40)</f>
        <v>102624.13652999552</v>
      </c>
      <c r="AB41" s="23">
        <f>IF(SUM(AB$21:AB$34)=0,0,SUM(AB$21:AB$34)/'Sch AL-TOU Cust Fcst'!$H40)</f>
        <v>967.82163835260417</v>
      </c>
      <c r="AC41" s="45">
        <f>SUM(Z41:AB41)</f>
        <v>103591.95816834812</v>
      </c>
      <c r="AD41" s="137">
        <f>IF(SUM(AD$21:AD$34)=0,0,SUM(AD$21:AD$34)/'Sch AL-TOU Cust Fcst'!$I40)</f>
        <v>22623.051524774361</v>
      </c>
      <c r="AE41" s="23">
        <f>IF(SUM(AE$21:AE$34)=0,0,SUM(AE$21:AE$34)/'Sch AL-TOU Cust Fcst'!$I40)</f>
        <v>8914.2620509764074</v>
      </c>
      <c r="AF41" s="23">
        <f>IF(SUM(AF$21:AF$34)=0,0,SUM(AF$21:AF$34)/'Sch AL-TOU Cust Fcst'!$I40)</f>
        <v>895.6650011827586</v>
      </c>
      <c r="AG41" s="45">
        <f>SUM(AD41:AF41)</f>
        <v>32432.978576933529</v>
      </c>
    </row>
    <row r="42" spans="1:33" ht="13.5" thickBot="1">
      <c r="A42" s="243" t="s">
        <v>100</v>
      </c>
      <c r="B42" s="244">
        <f>IF(SUM(B$35:B$37)=0,0,SUM(B$35:B$37)/'Sch AL-TOU Cust Fcst'!$B41)</f>
        <v>0</v>
      </c>
      <c r="C42" s="240">
        <f>IF(SUM(C$35:C$37)=0,0,SUM(C$35:C$37)/'Sch AL-TOU Cust Fcst'!$B41)</f>
        <v>0</v>
      </c>
      <c r="D42" s="240">
        <f>IF(SUM(D$35:D$37)=0,0,SUM(D$35:D$37)/'Sch AL-TOU Cust Fcst'!$B41)</f>
        <v>0</v>
      </c>
      <c r="E42" s="249">
        <f>SUM(B42:D42)</f>
        <v>0</v>
      </c>
      <c r="F42" s="244">
        <f>IF(SUM(F$35:F$37)=0,0,SUM(F$35:F$37)/'Sch AL-TOU Cust Fcst'!$C41)</f>
        <v>0</v>
      </c>
      <c r="G42" s="240">
        <f>IF(SUM(G$35:G$37)=0,0,SUM(G$35:G$37)/'Sch AL-TOU Cust Fcst'!$C41)</f>
        <v>0</v>
      </c>
      <c r="H42" s="240">
        <f>IF(SUM(H$35:H$37)=0,0,SUM(H$35:H$37)/'Sch AL-TOU Cust Fcst'!$C41)</f>
        <v>0</v>
      </c>
      <c r="I42" s="249">
        <f>SUM(F42:H42)</f>
        <v>0</v>
      </c>
      <c r="J42" s="244">
        <f>IF(SUM(J$35:J$37)=0,0,SUM(J$35:J$37)/'Sch AL-TOU Cust Fcst'!$D41)</f>
        <v>0</v>
      </c>
      <c r="K42" s="240">
        <f>IF(SUM(K$35:K$37)=0,0,SUM(K$35:K$37)/'Sch AL-TOU Cust Fcst'!$D41)</f>
        <v>0</v>
      </c>
      <c r="L42" s="240">
        <f>IF(SUM(L$35:L$37)=0,0,SUM(L$35:L$37)/'Sch AL-TOU Cust Fcst'!$D41)</f>
        <v>0</v>
      </c>
      <c r="M42" s="249">
        <f>SUM(J42:L42)</f>
        <v>0</v>
      </c>
      <c r="N42" s="244">
        <f>IF(SUM(N$35:N$37)=0,0,SUM(N$35:N$37)/'Sch AL-TOU Cust Fcst'!$E41)</f>
        <v>0</v>
      </c>
      <c r="O42" s="240">
        <f>IF(SUM(O$35:O$37)=0,0,SUM(O$35:O$37)/'Sch AL-TOU Cust Fcst'!$E41)</f>
        <v>0</v>
      </c>
      <c r="P42" s="240">
        <f>IF(SUM(P$35:P$37)=0,0,SUM(P$35:P$37)/'Sch AL-TOU Cust Fcst'!$E41)</f>
        <v>0</v>
      </c>
      <c r="Q42" s="249">
        <f>SUM(N42:P42)</f>
        <v>0</v>
      </c>
      <c r="R42" s="244">
        <f>IF(SUM(R$35:R$37)=0,0,SUM(R$35:R$37)/'Sch AL-TOU Cust Fcst'!$F41)</f>
        <v>0</v>
      </c>
      <c r="S42" s="240">
        <f>IF(SUM(S$35:S$37)=0,0,SUM(S$35:S$37)/'Sch AL-TOU Cust Fcst'!$F41)</f>
        <v>0</v>
      </c>
      <c r="T42" s="240">
        <f>IF(SUM(T$35:T$37)=0,0,SUM(T$35:T$37)/'Sch AL-TOU Cust Fcst'!$F41)</f>
        <v>0</v>
      </c>
      <c r="U42" s="249">
        <f>SUM(R42:T42)</f>
        <v>0</v>
      </c>
      <c r="V42" s="244">
        <f>IF(SUM(V$35:V$37)=0,0,SUM(V$35:V$37)/'Sch AL-TOU Cust Fcst'!$G41)</f>
        <v>0</v>
      </c>
      <c r="W42" s="240">
        <f>IF(SUM(W$35:W$37)=0,0,SUM(W$35:W$37)/'Sch AL-TOU Cust Fcst'!$G41)</f>
        <v>7772.9285855999342</v>
      </c>
      <c r="X42" s="240">
        <f>IF(SUM(X$35:X$37)=0,0,SUM(X$35:X$37)/'Sch AL-TOU Cust Fcst'!$G41)</f>
        <v>967.82163835260417</v>
      </c>
      <c r="Y42" s="249">
        <f>SUM(V42:X42)</f>
        <v>8740.7502239525384</v>
      </c>
      <c r="Z42" s="244">
        <f>IF(SUM(Z$35:Z$37)=0,0,SUM(Z$35:Z$37)/'Sch AL-TOU Cust Fcst'!$H41)</f>
        <v>0</v>
      </c>
      <c r="AA42" s="240">
        <f>IF(SUM(AA$35:AA$37)=0,0,SUM(AA$35:AA$37)/'Sch AL-TOU Cust Fcst'!$H41)</f>
        <v>146326.81415392709</v>
      </c>
      <c r="AB42" s="240">
        <f>IF(SUM(AB$35:AB$37)=0,0,SUM(AB$35:AB$37)/'Sch AL-TOU Cust Fcst'!$H41)</f>
        <v>967.82163835260417</v>
      </c>
      <c r="AC42" s="249">
        <f>SUM(Z42:AB42)</f>
        <v>147294.6357922797</v>
      </c>
      <c r="AD42" s="244">
        <f>IF(SUM(AD$35:AD$37)=0,0,SUM(AD$35:AD$37)/'Sch AL-TOU Cust Fcst'!$I41)</f>
        <v>0</v>
      </c>
      <c r="AE42" s="240">
        <f>IF(SUM(AE$35:AE$37)=0,0,SUM(AE$35:AE$37)/'Sch AL-TOU Cust Fcst'!$I41)</f>
        <v>42411.399977681722</v>
      </c>
      <c r="AF42" s="240">
        <f>IF(SUM(AF$35:AF$37)=0,0,SUM(AF$35:AF$37)/'Sch AL-TOU Cust Fcst'!$I41)</f>
        <v>967.82163835260417</v>
      </c>
      <c r="AG42" s="249">
        <f>SUM(AD42:AF42)</f>
        <v>43379.221616034323</v>
      </c>
    </row>
    <row r="44" spans="1:33">
      <c r="A44" s="340" t="s">
        <v>102</v>
      </c>
      <c r="B44" s="18"/>
      <c r="C44" s="18"/>
      <c r="D44" s="18"/>
      <c r="E44" s="391">
        <f>IF(SUM(B7:D37)=0,0,SUM(B7:D37)/'Sch AL-TOU Cust Fcst'!B38)-E39</f>
        <v>0</v>
      </c>
      <c r="F44" s="18"/>
      <c r="G44" s="18"/>
      <c r="H44" s="18"/>
      <c r="I44" s="391">
        <f>IF(SUM(F7:H37)=0,0,SUM(F7:H37)/'Sch AL-TOU Cust Fcst'!C38)-I39</f>
        <v>0</v>
      </c>
      <c r="J44" s="18"/>
      <c r="K44" s="18"/>
      <c r="L44" s="18"/>
      <c r="M44" s="391">
        <f>IF(SUM(J7:L37)=0,0,SUM(J7:L37)/'Sch AL-TOU Cust Fcst'!D38)-M39</f>
        <v>0</v>
      </c>
      <c r="N44" s="18"/>
      <c r="O44" s="18"/>
      <c r="P44" s="18"/>
      <c r="Q44" s="391">
        <f>IF(SUM(N7:P37)=0,0,SUM(N7:P37)/'Sch AL-TOU Cust Fcst'!E38)-Q39</f>
        <v>0</v>
      </c>
      <c r="R44" s="18"/>
      <c r="S44" s="18"/>
      <c r="T44" s="18"/>
      <c r="U44" s="391">
        <f>IF(SUM(R7:T37)=0,0,SUM(R7:T37)/'Sch AL-TOU Cust Fcst'!F38)-U39</f>
        <v>0</v>
      </c>
      <c r="V44" s="18"/>
      <c r="W44" s="18"/>
      <c r="X44" s="18"/>
      <c r="Y44" s="391">
        <f>IF(SUM(V7:X37)=0,0,SUM(V7:X37)/'Sch AL-TOU Cust Fcst'!G38)-Y39</f>
        <v>0</v>
      </c>
      <c r="Z44" s="18"/>
      <c r="AA44" s="18"/>
      <c r="AB44" s="18"/>
      <c r="AC44" s="391">
        <f>IF(SUM(Z7:AB37)=0,0,SUM(Z7:AB37)/'Sch AL-TOU Cust Fcst'!H38)-AC39</f>
        <v>0</v>
      </c>
      <c r="AD44" s="18"/>
      <c r="AE44" s="18"/>
      <c r="AF44" s="18"/>
      <c r="AG44" s="391">
        <f>IF(SUM(AD7:AF37)=0,0,SUM(AD7:AF37)/'Sch AL-TOU Cust Fcst'!I38)-AG39</f>
        <v>0</v>
      </c>
    </row>
    <row r="45" spans="1:33">
      <c r="E45" s="391">
        <f>IF(SUM(B7:D20)=0,0,SUM(B7:D20)/'Sch AL-TOU Cust Fcst'!B39)-E40</f>
        <v>0</v>
      </c>
      <c r="I45" s="391">
        <f>IF(SUM(F7:H20)=0,0,SUM(F7:H20)/'Sch AL-TOU Cust Fcst'!C39)-I40</f>
        <v>0</v>
      </c>
      <c r="M45" s="391">
        <f>IF(SUM(J7:L20)=0,0,SUM(J7:L20)/'Sch AL-TOU Cust Fcst'!D39)-M40</f>
        <v>0</v>
      </c>
      <c r="Q45" s="391">
        <f>IF(SUM(N7:P20)=0,0,SUM(N7:P20)/'Sch AL-TOU Cust Fcst'!E39)-Q40</f>
        <v>0</v>
      </c>
      <c r="U45" s="391">
        <f>IF(SUM(R7:T20)=0,0,SUM(R7:T20)/'Sch AL-TOU Cust Fcst'!F39)-U40</f>
        <v>0</v>
      </c>
      <c r="Y45" s="391">
        <f>IF(SUM(V7:X20)=0,0,SUM(V7:X20)/'Sch AL-TOU Cust Fcst'!G39)-Y40</f>
        <v>0</v>
      </c>
      <c r="AC45" s="391">
        <f>IF(SUM(Z7:AB20)=0,0,SUM(Z7:AB20)/'Sch AL-TOU Cust Fcst'!H39)-AC40</f>
        <v>0</v>
      </c>
      <c r="AG45" s="391">
        <f>IF(SUM(AD7:AF20)=0,0,SUM(AD7:AF20)/'Sch AL-TOU Cust Fcst'!I39)-AG40</f>
        <v>0</v>
      </c>
    </row>
    <row r="46" spans="1:33">
      <c r="E46" s="391">
        <f>IF(SUM(B21:D34)=0,0,SUM(B21:D34)/'Sch AL-TOU Cust Fcst'!B40)-E41</f>
        <v>0</v>
      </c>
      <c r="F46" s="405"/>
      <c r="G46" s="405"/>
      <c r="H46" s="405"/>
      <c r="I46" s="391">
        <f>IF(SUM(F21:H34)=0,0,SUM(F21:H34)/'Sch AL-TOU Cust Fcst'!C40)-I41</f>
        <v>0</v>
      </c>
      <c r="M46" s="391">
        <f>IF(SUM(J21:L34)=0,0,SUM(J21:L34)/'Sch AL-TOU Cust Fcst'!D40)-M41</f>
        <v>0</v>
      </c>
      <c r="N46" s="405"/>
      <c r="O46" s="405"/>
      <c r="P46" s="405"/>
      <c r="Q46" s="391">
        <f>IF(SUM(N21:P34)=0,0,SUM(N21:P34)/'Sch AL-TOU Cust Fcst'!E40)-Q41</f>
        <v>0</v>
      </c>
      <c r="R46" s="405"/>
      <c r="S46" s="405"/>
      <c r="T46" s="405"/>
      <c r="U46" s="391">
        <f>IF(SUM(R21:T34)=0,0,SUM(R21:T34)/'Sch AL-TOU Cust Fcst'!F40)-U41</f>
        <v>0</v>
      </c>
      <c r="V46" s="405"/>
      <c r="W46" s="405"/>
      <c r="X46" s="405"/>
      <c r="Y46" s="391">
        <f>IF(SUM(V21:X34)=0,0,SUM(V21:X34)/'Sch AL-TOU Cust Fcst'!G40)-Y41</f>
        <v>0</v>
      </c>
      <c r="Z46" s="405"/>
      <c r="AA46" s="405"/>
      <c r="AB46" s="405"/>
      <c r="AC46" s="391">
        <f>IF(SUM(Z21:AB34)=0,0,SUM(Z21:AB34)/'Sch AL-TOU Cust Fcst'!H40)-AC41</f>
        <v>0</v>
      </c>
      <c r="AD46" s="405"/>
      <c r="AE46" s="405"/>
      <c r="AF46" s="405"/>
      <c r="AG46" s="391">
        <f>IF(SUM(AD21:AF34)=0,0,SUM(AD21:AF34)/'Sch AL-TOU Cust Fcst'!I40)-AG41</f>
        <v>0</v>
      </c>
    </row>
    <row r="47" spans="1:33">
      <c r="A47" s="19"/>
      <c r="E47" s="391">
        <f>IF(SUM(B35:D37)=0,0,SUM(B35:D37)/'Sch AL-TOU Cust Fcst'!B41)-E42</f>
        <v>0</v>
      </c>
      <c r="F47" s="405"/>
      <c r="G47" s="405"/>
      <c r="H47" s="405"/>
      <c r="I47" s="391">
        <f>IF(SUM(F35:H37)=0,0,SUM(F35:H37)/'Sch AL-TOU Cust Fcst'!F41)-I42</f>
        <v>0</v>
      </c>
      <c r="M47" s="391">
        <f>IF(SUM(J35:L37)=0,0,SUM(J35:L37)/'Sch AL-TOU Cust Fcst'!D41)-M42</f>
        <v>0</v>
      </c>
      <c r="N47" s="405"/>
      <c r="O47" s="405"/>
      <c r="P47" s="405"/>
      <c r="Q47" s="391">
        <f>IF(SUM(N35:P37)=0,0,SUM(N35:P37)/'Sch AL-TOU Cust Fcst'!E41)-Q42</f>
        <v>0</v>
      </c>
      <c r="R47" s="405"/>
      <c r="S47" s="405"/>
      <c r="T47" s="405"/>
      <c r="U47" s="391">
        <f>IF(SUM(R35:T37)=0,0,SUM(R35:T37)/'Sch AL-TOU Cust Fcst'!F41)-U42</f>
        <v>0</v>
      </c>
      <c r="V47" s="405"/>
      <c r="W47" s="405"/>
      <c r="X47" s="405"/>
      <c r="Y47" s="391">
        <f>IF(SUM(V35:X37)=0,0,SUM(V35:X37)/'Sch AL-TOU Cust Fcst'!G41)-Y42</f>
        <v>0</v>
      </c>
      <c r="Z47" s="405"/>
      <c r="AA47" s="405"/>
      <c r="AB47" s="405"/>
      <c r="AC47" s="391">
        <f>IF(SUM(Z35:AB37)=0,0,SUM(Z35:AB37)/'Sch AL-TOU Cust Fcst'!H41)-AC42</f>
        <v>0</v>
      </c>
      <c r="AD47" s="405"/>
      <c r="AE47" s="405"/>
      <c r="AF47" s="405"/>
      <c r="AG47" s="391">
        <f>IF(SUM(AD35:AF37)=0,0,SUM(AD35:AF37)/'Sch AL-TOU Cust Fcst'!I41)-AG42</f>
        <v>0</v>
      </c>
    </row>
    <row r="59" spans="1:1">
      <c r="A59" s="19"/>
    </row>
  </sheetData>
  <mergeCells count="13">
    <mergeCell ref="AD3:AG3"/>
    <mergeCell ref="Z2:AC2"/>
    <mergeCell ref="Z3:AC3"/>
    <mergeCell ref="A1:Y1"/>
    <mergeCell ref="B2:U2"/>
    <mergeCell ref="V2:Y2"/>
    <mergeCell ref="AD2:AG2"/>
    <mergeCell ref="B3:E3"/>
    <mergeCell ref="F3:I3"/>
    <mergeCell ref="J3:M3"/>
    <mergeCell ref="N3:Q3"/>
    <mergeCell ref="R3:U3"/>
    <mergeCell ref="V3:Y3"/>
  </mergeCells>
  <printOptions horizontalCentered="1"/>
  <pageMargins left="0.75" right="0.75" top="1" bottom="1" header="0.5" footer="0.5"/>
  <pageSetup scale="45" orientation="portrait" r:id="rId1"/>
  <headerFooter alignWithMargins="0">
    <oddFooter>&amp;L&amp;F
&amp;A&amp;R&amp;P of &amp;N</oddFooter>
  </headerFooter>
  <colBreaks count="2" manualBreakCount="2">
    <brk id="13" max="41" man="1"/>
    <brk id="21" max="43" man="1"/>
  </colBreaks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 codeName="Sheet41">
    <tabColor rgb="FFFFC000"/>
  </sheetPr>
  <dimension ref="A1:Q56"/>
  <sheetViews>
    <sheetView zoomScaleNormal="100" workbookViewId="0">
      <selection activeCell="J9" sqref="J9"/>
    </sheetView>
  </sheetViews>
  <sheetFormatPr defaultRowHeight="12.75"/>
  <cols>
    <col min="1" max="1" width="40.7109375" customWidth="1"/>
    <col min="2" max="2" width="10.28515625" style="12" customWidth="1"/>
    <col min="3" max="3" width="17.140625" style="12" bestFit="1" customWidth="1"/>
    <col min="4" max="4" width="8.85546875" style="12" bestFit="1" customWidth="1"/>
    <col min="5" max="5" width="14.85546875" style="12" bestFit="1" customWidth="1"/>
    <col min="6" max="6" width="13.7109375" style="12" bestFit="1" customWidth="1"/>
    <col min="7" max="7" width="17.140625" style="12" bestFit="1" customWidth="1"/>
    <col min="8" max="8" width="14.85546875" style="12" bestFit="1" customWidth="1"/>
    <col min="9" max="9" width="14" style="12" bestFit="1" customWidth="1"/>
    <col min="10" max="10" width="10.28515625" style="12" bestFit="1" customWidth="1"/>
    <col min="11" max="11" width="17" style="12" bestFit="1" customWidth="1"/>
    <col min="12" max="12" width="11.28515625" style="12" bestFit="1" customWidth="1"/>
    <col min="13" max="13" width="11.140625" style="12" bestFit="1" customWidth="1"/>
    <col min="14" max="14" width="10.28515625" bestFit="1" customWidth="1"/>
    <col min="15" max="15" width="17" bestFit="1" customWidth="1"/>
    <col min="16" max="17" width="10.28515625" bestFit="1" customWidth="1"/>
  </cols>
  <sheetData>
    <row r="1" spans="1:17" ht="18.75" thickBot="1">
      <c r="A1" s="826" t="s">
        <v>199</v>
      </c>
      <c r="B1" s="826"/>
      <c r="C1" s="826"/>
      <c r="D1" s="826"/>
      <c r="E1" s="826"/>
      <c r="F1" s="826"/>
      <c r="G1" s="826"/>
      <c r="H1" s="826"/>
      <c r="I1" s="826"/>
      <c r="J1" s="826"/>
      <c r="K1" s="826"/>
      <c r="L1" s="826"/>
      <c r="M1" s="826"/>
      <c r="N1" s="845"/>
      <c r="O1" s="845"/>
      <c r="P1" s="845"/>
      <c r="Q1" s="845"/>
    </row>
    <row r="2" spans="1:17" ht="13.5" thickBot="1">
      <c r="A2" s="131"/>
      <c r="B2" s="836" t="s">
        <v>0</v>
      </c>
      <c r="C2" s="830"/>
      <c r="D2" s="830"/>
      <c r="E2" s="831"/>
      <c r="F2" s="827" t="s">
        <v>1</v>
      </c>
      <c r="G2" s="828"/>
      <c r="H2" s="828"/>
      <c r="I2" s="829"/>
      <c r="J2" s="827" t="s">
        <v>99</v>
      </c>
      <c r="K2" s="828"/>
      <c r="L2" s="828"/>
      <c r="M2" s="829"/>
      <c r="N2" s="827" t="s">
        <v>258</v>
      </c>
      <c r="O2" s="828"/>
      <c r="P2" s="828"/>
      <c r="Q2" s="829"/>
    </row>
    <row r="3" spans="1:17" ht="13.5" thickBot="1">
      <c r="A3" s="102" t="s">
        <v>47</v>
      </c>
      <c r="B3" s="402" t="s">
        <v>189</v>
      </c>
      <c r="C3" s="403" t="s">
        <v>139</v>
      </c>
      <c r="D3" s="403" t="s">
        <v>100</v>
      </c>
      <c r="E3" s="613" t="s">
        <v>167</v>
      </c>
      <c r="F3" s="402" t="s">
        <v>189</v>
      </c>
      <c r="G3" s="403" t="s">
        <v>139</v>
      </c>
      <c r="H3" s="403" t="s">
        <v>100</v>
      </c>
      <c r="I3" s="613" t="s">
        <v>168</v>
      </c>
      <c r="J3" s="402" t="s">
        <v>189</v>
      </c>
      <c r="K3" s="403" t="s">
        <v>139</v>
      </c>
      <c r="L3" s="403" t="s">
        <v>100</v>
      </c>
      <c r="M3" s="613" t="s">
        <v>248</v>
      </c>
      <c r="N3" s="524" t="s">
        <v>189</v>
      </c>
      <c r="O3" s="190" t="s">
        <v>139</v>
      </c>
      <c r="P3" s="190" t="s">
        <v>100</v>
      </c>
      <c r="Q3" s="618" t="s">
        <v>2</v>
      </c>
    </row>
    <row r="4" spans="1:17">
      <c r="A4" s="516"/>
      <c r="B4" s="132"/>
      <c r="C4" s="8"/>
      <c r="D4" s="8"/>
      <c r="E4" s="8"/>
      <c r="F4" s="5"/>
      <c r="G4" s="6"/>
      <c r="H4" s="6"/>
      <c r="I4" s="7"/>
      <c r="J4" s="5"/>
      <c r="K4" s="6"/>
      <c r="L4" s="6"/>
      <c r="M4" s="7"/>
      <c r="N4" s="5"/>
      <c r="O4" s="6"/>
      <c r="P4" s="6"/>
      <c r="Q4" s="7"/>
    </row>
    <row r="5" spans="1:17">
      <c r="A5" s="145"/>
      <c r="B5" s="132"/>
      <c r="C5" s="8"/>
      <c r="D5" s="8"/>
      <c r="E5" s="8"/>
      <c r="F5" s="132"/>
      <c r="G5" s="8"/>
      <c r="H5" s="8"/>
      <c r="I5" s="9"/>
      <c r="J5" s="132"/>
      <c r="K5" s="8"/>
      <c r="L5" s="8"/>
      <c r="M5" s="9"/>
      <c r="N5" s="132"/>
      <c r="O5" s="8"/>
      <c r="P5" s="8"/>
      <c r="Q5" s="9"/>
    </row>
    <row r="6" spans="1:17">
      <c r="A6" s="145" t="s">
        <v>49</v>
      </c>
      <c r="B6" s="142"/>
      <c r="C6" s="34"/>
      <c r="D6" s="34"/>
      <c r="E6" s="34"/>
      <c r="F6" s="142"/>
      <c r="G6" s="34"/>
      <c r="H6" s="34"/>
      <c r="I6" s="44"/>
      <c r="J6" s="142"/>
      <c r="K6" s="34"/>
      <c r="L6" s="34"/>
      <c r="M6" s="44"/>
      <c r="N6" s="142"/>
      <c r="O6" s="34"/>
      <c r="P6" s="34"/>
      <c r="Q6" s="44"/>
    </row>
    <row r="7" spans="1:17">
      <c r="A7" s="517"/>
      <c r="B7" s="142"/>
      <c r="C7" s="34"/>
      <c r="D7" s="34"/>
      <c r="E7" s="34"/>
      <c r="F7" s="142"/>
      <c r="G7" s="34"/>
      <c r="H7" s="34"/>
      <c r="I7" s="44"/>
      <c r="J7" s="142"/>
      <c r="K7" s="34"/>
      <c r="L7" s="34"/>
      <c r="M7" s="44"/>
      <c r="N7" s="142"/>
      <c r="O7" s="34"/>
      <c r="P7" s="34"/>
      <c r="Q7" s="44"/>
    </row>
    <row r="8" spans="1:17">
      <c r="A8" s="145" t="s">
        <v>53</v>
      </c>
      <c r="B8" s="143">
        <f>'Sch AL-TOU TSM'!R40</f>
        <v>11165.86702654393</v>
      </c>
      <c r="C8" s="163">
        <f>'Sch AL-TOU TSM'!R41</f>
        <v>32025.459015028682</v>
      </c>
      <c r="D8" s="163"/>
      <c r="E8" s="163">
        <f>'Sch AL-TOU TSM'!R39</f>
        <v>11732.547826781311</v>
      </c>
      <c r="F8" s="143">
        <f>'Sch AL-TOU TSM'!V40</f>
        <v>0</v>
      </c>
      <c r="G8" s="163">
        <f>'Sch AL-TOU TSM'!V41</f>
        <v>0</v>
      </c>
      <c r="H8" s="163">
        <f>'Sch AL-TOU TSM'!V42</f>
        <v>0</v>
      </c>
      <c r="I8" s="49">
        <f>'Sch AL-TOU TSM'!V39</f>
        <v>0</v>
      </c>
      <c r="J8" s="143">
        <f>'Sch AL-TOU TSM'!Z40</f>
        <v>0</v>
      </c>
      <c r="K8" s="163">
        <f>'Sch AL-TOU TSM'!Z41</f>
        <v>0</v>
      </c>
      <c r="L8" s="163">
        <f>'Sch AL-TOU TSM'!Z42</f>
        <v>0</v>
      </c>
      <c r="M8" s="49">
        <f>'Sch AL-TOU TSM'!Z39</f>
        <v>0</v>
      </c>
      <c r="N8" s="143">
        <f>'Sch AL-TOU TSM'!AD40</f>
        <v>11058.371369890698</v>
      </c>
      <c r="O8" s="163">
        <f>'Sch AL-TOU TSM'!AD41</f>
        <v>22623.051524774361</v>
      </c>
      <c r="P8" s="163">
        <f>'Sch AL-TOU TSM'!AD42</f>
        <v>0</v>
      </c>
      <c r="Q8" s="49">
        <f>'Sch AL-TOU TSM'!AD39</f>
        <v>11491.495143240165</v>
      </c>
    </row>
    <row r="9" spans="1:17">
      <c r="A9" s="145" t="s">
        <v>51</v>
      </c>
      <c r="B9" s="143">
        <f>'Sch AL-TOU TSM'!S40</f>
        <v>1373.0638145755099</v>
      </c>
      <c r="C9" s="163">
        <f>'Sch AL-TOU TSM'!S41</f>
        <v>8758.883973776592</v>
      </c>
      <c r="D9" s="163"/>
      <c r="E9" s="163">
        <f>'Sch AL-TOU TSM'!S39</f>
        <v>1573.710235681729</v>
      </c>
      <c r="F9" s="143">
        <f>'Sch AL-TOU TSM'!W40</f>
        <v>3129.9273129422195</v>
      </c>
      <c r="G9" s="163">
        <f>'Sch AL-TOU TSM'!W41</f>
        <v>4296.8848520594001</v>
      </c>
      <c r="H9" s="163">
        <f>'Sch AL-TOU TSM'!W42</f>
        <v>7772.9285855999342</v>
      </c>
      <c r="I9" s="49">
        <f>'Sch AL-TOU TSM'!W39</f>
        <v>3797.0251969447654</v>
      </c>
      <c r="J9" s="143">
        <f>'Sch AL-TOU TSM'!AA40</f>
        <v>58921.458906063985</v>
      </c>
      <c r="K9" s="163">
        <f>'Sch AL-TOU TSM'!AA41</f>
        <v>102624.13652999552</v>
      </c>
      <c r="L9" s="163">
        <f>'Sch AL-TOU TSM'!AA42</f>
        <v>146326.81415392709</v>
      </c>
      <c r="M9" s="49">
        <f>'Sch AL-TOU TSM'!AA39</f>
        <v>88056.577322018376</v>
      </c>
      <c r="N9" s="143">
        <f>'Sch AL-TOU TSM'!AE40</f>
        <v>1412.7641003787867</v>
      </c>
      <c r="O9" s="163">
        <f>'Sch AL-TOU TSM'!AE41</f>
        <v>8914.2620509764074</v>
      </c>
      <c r="P9" s="163">
        <f>'Sch AL-TOU TSM'!AE42</f>
        <v>42411.399977681722</v>
      </c>
      <c r="Q9" s="49">
        <f>'Sch AL-TOU TSM'!AE39</f>
        <v>1704.5289857700636</v>
      </c>
    </row>
    <row r="10" spans="1:17">
      <c r="A10" s="145" t="s">
        <v>52</v>
      </c>
      <c r="B10" s="143">
        <f>'Sch AL-TOU TSM'!T40</f>
        <v>421.75320592298544</v>
      </c>
      <c r="C10" s="163">
        <f>'Sch AL-TOU TSM'!T41</f>
        <v>865.67585029149438</v>
      </c>
      <c r="D10" s="163"/>
      <c r="E10" s="163">
        <f>'Sch AL-TOU TSM'!T39</f>
        <v>433.81300265789321</v>
      </c>
      <c r="F10" s="143">
        <f>'Sch AL-TOU TSM'!X40</f>
        <v>947.1338838085818</v>
      </c>
      <c r="G10" s="163">
        <f>'Sch AL-TOU TSM'!X41</f>
        <v>967.82163835260417</v>
      </c>
      <c r="H10" s="163">
        <f>'Sch AL-TOU TSM'!X42</f>
        <v>967.82163835260417</v>
      </c>
      <c r="I10" s="49">
        <f>'Sch AL-TOU TSM'!X39</f>
        <v>958.42892220905389</v>
      </c>
      <c r="J10" s="143">
        <f>'Sch AL-TOU TSM'!AB40</f>
        <v>967.82163835260417</v>
      </c>
      <c r="K10" s="163">
        <f>'Sch AL-TOU TSM'!AB41</f>
        <v>967.82163835260417</v>
      </c>
      <c r="L10" s="163">
        <f>'Sch AL-TOU TSM'!AB42</f>
        <v>967.82163835260417</v>
      </c>
      <c r="M10" s="49">
        <f>'Sch AL-TOU TSM'!AB39</f>
        <v>967.82163835260451</v>
      </c>
      <c r="N10" s="143">
        <f>'Sch AL-TOU TSM'!AF40</f>
        <v>426.81958238210973</v>
      </c>
      <c r="O10" s="163">
        <f>'Sch AL-TOU TSM'!AF41</f>
        <v>895.6650011827586</v>
      </c>
      <c r="P10" s="163">
        <f>'Sch AL-TOU TSM'!AF42</f>
        <v>967.82163835260417</v>
      </c>
      <c r="Q10" s="49">
        <f>'Sch AL-TOU TSM'!AF39</f>
        <v>444.60106235511512</v>
      </c>
    </row>
    <row r="11" spans="1:17">
      <c r="A11" s="518"/>
      <c r="B11" s="142"/>
      <c r="C11" s="34"/>
      <c r="D11" s="34"/>
      <c r="E11" s="34"/>
      <c r="F11" s="142"/>
      <c r="G11" s="34"/>
      <c r="H11" s="34"/>
      <c r="I11" s="44"/>
      <c r="J11" s="142"/>
      <c r="K11" s="34"/>
      <c r="L11" s="34"/>
      <c r="M11" s="44"/>
      <c r="N11" s="142"/>
      <c r="O11" s="34"/>
      <c r="P11" s="34"/>
      <c r="Q11" s="44"/>
    </row>
    <row r="12" spans="1:17">
      <c r="A12" s="145" t="s">
        <v>35</v>
      </c>
      <c r="B12" s="142">
        <f t="shared" ref="B12:I12" si="0">SUM(B8:B10)</f>
        <v>12960.684047042425</v>
      </c>
      <c r="C12" s="34">
        <f t="shared" si="0"/>
        <v>41650.018839096774</v>
      </c>
      <c r="D12" s="34"/>
      <c r="E12" s="34">
        <f t="shared" si="0"/>
        <v>13740.071065120932</v>
      </c>
      <c r="F12" s="142">
        <f t="shared" si="0"/>
        <v>4077.0611967508012</v>
      </c>
      <c r="G12" s="34">
        <f t="shared" si="0"/>
        <v>5264.7064904120043</v>
      </c>
      <c r="H12" s="34">
        <f t="shared" si="0"/>
        <v>8740.7502239525384</v>
      </c>
      <c r="I12" s="44">
        <f t="shared" si="0"/>
        <v>4755.4541191538192</v>
      </c>
      <c r="J12" s="142">
        <f t="shared" ref="J12:Q12" si="1">SUM(J8:J10)</f>
        <v>59889.280544416586</v>
      </c>
      <c r="K12" s="34">
        <f t="shared" si="1"/>
        <v>103591.95816834812</v>
      </c>
      <c r="L12" s="34">
        <f t="shared" si="1"/>
        <v>147294.6357922797</v>
      </c>
      <c r="M12" s="44">
        <f t="shared" si="1"/>
        <v>89024.398960370978</v>
      </c>
      <c r="N12" s="142">
        <f t="shared" si="1"/>
        <v>12897.955052651594</v>
      </c>
      <c r="O12" s="34">
        <f t="shared" si="1"/>
        <v>32432.978576933529</v>
      </c>
      <c r="P12" s="34">
        <f t="shared" si="1"/>
        <v>43379.221616034323</v>
      </c>
      <c r="Q12" s="44">
        <f t="shared" si="1"/>
        <v>13640.625191365343</v>
      </c>
    </row>
    <row r="13" spans="1:17">
      <c r="A13" s="518"/>
      <c r="B13" s="142"/>
      <c r="C13" s="34"/>
      <c r="D13" s="34"/>
      <c r="E13" s="34"/>
      <c r="F13" s="142"/>
      <c r="G13" s="34"/>
      <c r="H13" s="34"/>
      <c r="I13" s="44"/>
      <c r="J13" s="142"/>
      <c r="K13" s="34"/>
      <c r="L13" s="34"/>
      <c r="M13" s="44"/>
      <c r="N13" s="142"/>
      <c r="O13" s="34"/>
      <c r="P13" s="34"/>
      <c r="Q13" s="44"/>
    </row>
    <row r="14" spans="1:17">
      <c r="A14" s="145" t="s">
        <v>65</v>
      </c>
      <c r="B14" s="142"/>
      <c r="C14" s="34"/>
      <c r="D14" s="34"/>
      <c r="E14" s="34"/>
      <c r="F14" s="142"/>
      <c r="G14" s="34"/>
      <c r="H14" s="34"/>
      <c r="I14" s="44"/>
      <c r="J14" s="142"/>
      <c r="K14" s="34"/>
      <c r="L14" s="34"/>
      <c r="M14" s="44"/>
      <c r="N14" s="142"/>
      <c r="O14" s="34"/>
      <c r="P14" s="34"/>
      <c r="Q14" s="44"/>
    </row>
    <row r="15" spans="1:17">
      <c r="A15" s="519">
        <f>Inputs!C3</f>
        <v>2.7723662892949787E-2</v>
      </c>
      <c r="B15" s="142"/>
      <c r="C15" s="34"/>
      <c r="D15" s="34"/>
      <c r="E15" s="34"/>
      <c r="F15" s="142"/>
      <c r="G15" s="34"/>
      <c r="H15" s="34"/>
      <c r="I15" s="44"/>
      <c r="J15" s="142"/>
      <c r="K15" s="34"/>
      <c r="L15" s="34"/>
      <c r="M15" s="44"/>
      <c r="N15" s="142"/>
      <c r="O15" s="34"/>
      <c r="P15" s="34"/>
      <c r="Q15" s="44"/>
    </row>
    <row r="16" spans="1:17">
      <c r="A16" s="40" t="s">
        <v>64</v>
      </c>
      <c r="B16" s="142"/>
      <c r="C16" s="34"/>
      <c r="D16" s="34"/>
      <c r="E16" s="34"/>
      <c r="F16" s="142"/>
      <c r="G16" s="34"/>
      <c r="H16" s="34"/>
      <c r="I16" s="44"/>
      <c r="J16" s="142"/>
      <c r="K16" s="34"/>
      <c r="L16" s="34"/>
      <c r="M16" s="44"/>
      <c r="N16" s="142"/>
      <c r="O16" s="34"/>
      <c r="P16" s="34"/>
      <c r="Q16" s="44"/>
    </row>
    <row r="17" spans="1:17">
      <c r="A17" s="53">
        <f>Inputs!C4</f>
        <v>1.5023E-2</v>
      </c>
      <c r="B17" s="142"/>
      <c r="C17" s="34"/>
      <c r="D17" s="34"/>
      <c r="E17" s="34"/>
      <c r="F17" s="142"/>
      <c r="G17" s="34"/>
      <c r="H17" s="34"/>
      <c r="I17" s="44"/>
      <c r="J17" s="142"/>
      <c r="K17" s="34"/>
      <c r="L17" s="34"/>
      <c r="M17" s="44"/>
      <c r="N17" s="142"/>
      <c r="O17" s="34"/>
      <c r="P17" s="34"/>
      <c r="Q17" s="44"/>
    </row>
    <row r="18" spans="1:17">
      <c r="A18" s="520" t="s">
        <v>111</v>
      </c>
      <c r="B18" s="142">
        <f>(B8*(1+$A$15)*(1+$A$17))</f>
        <v>11647.821081086247</v>
      </c>
      <c r="C18" s="34">
        <f t="shared" ref="C18:E18" si="2">(C8*(1+$A$15)*(1+$A$17))</f>
        <v>33407.778881831648</v>
      </c>
      <c r="D18" s="34"/>
      <c r="E18" s="34">
        <f t="shared" si="2"/>
        <v>12238.961612812138</v>
      </c>
      <c r="F18" s="142">
        <f t="shared" ref="F18:Q18" si="3">(F8*(1+$A$15)*(1+$A$17))</f>
        <v>0</v>
      </c>
      <c r="G18" s="34">
        <f t="shared" si="3"/>
        <v>0</v>
      </c>
      <c r="H18" s="34">
        <f t="shared" si="3"/>
        <v>0</v>
      </c>
      <c r="I18" s="44">
        <f t="shared" si="3"/>
        <v>0</v>
      </c>
      <c r="J18" s="142">
        <f t="shared" si="3"/>
        <v>0</v>
      </c>
      <c r="K18" s="34">
        <f t="shared" si="3"/>
        <v>0</v>
      </c>
      <c r="L18" s="34">
        <f t="shared" si="3"/>
        <v>0</v>
      </c>
      <c r="M18" s="44">
        <f t="shared" si="3"/>
        <v>0</v>
      </c>
      <c r="N18" s="142">
        <f t="shared" si="3"/>
        <v>11535.685572691402</v>
      </c>
      <c r="O18" s="34">
        <f t="shared" si="3"/>
        <v>23599.533815183608</v>
      </c>
      <c r="P18" s="34">
        <f t="shared" si="3"/>
        <v>0</v>
      </c>
      <c r="Q18" s="44">
        <f t="shared" si="3"/>
        <v>11987.504334812293</v>
      </c>
    </row>
    <row r="19" spans="1:17">
      <c r="A19" s="520" t="s">
        <v>51</v>
      </c>
      <c r="B19" s="142">
        <f t="shared" ref="B19:E20" si="4">(B9*(1+$A$15)*(1+$A$17))</f>
        <v>1432.3295814888056</v>
      </c>
      <c r="C19" s="34">
        <f t="shared" si="4"/>
        <v>9136.9450445731636</v>
      </c>
      <c r="D19" s="34"/>
      <c r="E19" s="34">
        <f t="shared" si="4"/>
        <v>1641.6365352658563</v>
      </c>
      <c r="F19" s="142">
        <f t="shared" ref="F19:Q19" si="5">(F9*(1+$A$15)*(1+$A$17))</f>
        <v>3265.0248521936915</v>
      </c>
      <c r="G19" s="34">
        <f t="shared" si="5"/>
        <v>4482.3519610110343</v>
      </c>
      <c r="H19" s="34">
        <f t="shared" si="5"/>
        <v>8108.4327106797118</v>
      </c>
      <c r="I19" s="44">
        <f t="shared" si="5"/>
        <v>3960.9167858842125</v>
      </c>
      <c r="J19" s="142">
        <f t="shared" si="5"/>
        <v>61464.694997969658</v>
      </c>
      <c r="K19" s="34">
        <f t="shared" si="5"/>
        <v>107053.71809110107</v>
      </c>
      <c r="L19" s="34">
        <f t="shared" si="5"/>
        <v>152642.74118423252</v>
      </c>
      <c r="M19" s="44">
        <f t="shared" si="5"/>
        <v>91857.377060057304</v>
      </c>
      <c r="N19" s="142">
        <f t="shared" si="5"/>
        <v>1473.7434569008331</v>
      </c>
      <c r="O19" s="34">
        <f t="shared" si="5"/>
        <v>9299.0297298774294</v>
      </c>
      <c r="P19" s="34">
        <f t="shared" si="5"/>
        <v>44242.009829067916</v>
      </c>
      <c r="Q19" s="44">
        <f t="shared" si="5"/>
        <v>1778.1018354040302</v>
      </c>
    </row>
    <row r="20" spans="1:17">
      <c r="A20" s="520" t="s">
        <v>52</v>
      </c>
      <c r="B20" s="142">
        <f t="shared" si="4"/>
        <v>439.95740512467677</v>
      </c>
      <c r="C20" s="34">
        <f t="shared" si="4"/>
        <v>903.04115161341861</v>
      </c>
      <c r="D20" s="34"/>
      <c r="E20" s="34">
        <f t="shared" si="4"/>
        <v>452.53774074111772</v>
      </c>
      <c r="F20" s="142">
        <f t="shared" ref="F20:Q20" si="6">(F10*(1+$A$15)*(1+$A$17))</f>
        <v>988.01517089634729</v>
      </c>
      <c r="G20" s="34">
        <f t="shared" si="6"/>
        <v>1009.5958742062976</v>
      </c>
      <c r="H20" s="34">
        <f t="shared" si="6"/>
        <v>1009.5958742062976</v>
      </c>
      <c r="I20" s="44">
        <f t="shared" si="6"/>
        <v>999.79773879545826</v>
      </c>
      <c r="J20" s="142">
        <f t="shared" si="6"/>
        <v>1009.5958742062976</v>
      </c>
      <c r="K20" s="34">
        <f t="shared" si="6"/>
        <v>1009.5958742062976</v>
      </c>
      <c r="L20" s="34">
        <f t="shared" si="6"/>
        <v>1009.5958742062976</v>
      </c>
      <c r="M20" s="44">
        <f t="shared" si="6"/>
        <v>1009.5958742062979</v>
      </c>
      <c r="N20" s="142">
        <f t="shared" si="6"/>
        <v>445.24246237862945</v>
      </c>
      <c r="O20" s="34">
        <f t="shared" si="6"/>
        <v>934.32472888733344</v>
      </c>
      <c r="P20" s="34">
        <f t="shared" si="6"/>
        <v>1009.5958742062976</v>
      </c>
      <c r="Q20" s="44">
        <f t="shared" si="6"/>
        <v>463.7914471363847</v>
      </c>
    </row>
    <row r="21" spans="1:17">
      <c r="A21" s="145"/>
      <c r="B21" s="147"/>
      <c r="C21" s="97"/>
      <c r="D21" s="97"/>
      <c r="E21" s="97"/>
      <c r="F21" s="147"/>
      <c r="G21" s="97"/>
      <c r="H21" s="97"/>
      <c r="I21" s="99"/>
      <c r="J21" s="147"/>
      <c r="K21" s="97"/>
      <c r="L21" s="97"/>
      <c r="M21" s="99"/>
      <c r="N21" s="147"/>
      <c r="O21" s="97"/>
      <c r="P21" s="97"/>
      <c r="Q21" s="99"/>
    </row>
    <row r="22" spans="1:17">
      <c r="A22" s="145" t="s">
        <v>35</v>
      </c>
      <c r="B22" s="147">
        <f t="shared" ref="B22:I22" si="7">B18+B19+B20</f>
        <v>13520.10806769973</v>
      </c>
      <c r="C22" s="97">
        <f t="shared" si="7"/>
        <v>43447.76507801823</v>
      </c>
      <c r="D22" s="97"/>
      <c r="E22" s="97">
        <f t="shared" si="7"/>
        <v>14333.135888819112</v>
      </c>
      <c r="F22" s="147">
        <f t="shared" si="7"/>
        <v>4253.0400230900386</v>
      </c>
      <c r="G22" s="97">
        <f t="shared" si="7"/>
        <v>5491.9478352173319</v>
      </c>
      <c r="H22" s="97">
        <f t="shared" si="7"/>
        <v>9118.0285848860094</v>
      </c>
      <c r="I22" s="99">
        <f t="shared" si="7"/>
        <v>4960.7145246796708</v>
      </c>
      <c r="J22" s="147">
        <f t="shared" ref="J22:Q22" si="8">J18+J19+J20</f>
        <v>62474.29087217596</v>
      </c>
      <c r="K22" s="97">
        <f t="shared" si="8"/>
        <v>108063.31396530736</v>
      </c>
      <c r="L22" s="97">
        <f t="shared" si="8"/>
        <v>153652.33705843883</v>
      </c>
      <c r="M22" s="99">
        <f t="shared" si="8"/>
        <v>92866.972934263598</v>
      </c>
      <c r="N22" s="147">
        <f t="shared" si="8"/>
        <v>13454.671491970865</v>
      </c>
      <c r="O22" s="97">
        <f t="shared" si="8"/>
        <v>33832.888273948367</v>
      </c>
      <c r="P22" s="97">
        <f t="shared" si="8"/>
        <v>45251.60570327421</v>
      </c>
      <c r="Q22" s="99">
        <f t="shared" si="8"/>
        <v>14229.397617352708</v>
      </c>
    </row>
    <row r="23" spans="1:17">
      <c r="A23" s="145"/>
      <c r="B23" s="142"/>
      <c r="C23" s="34"/>
      <c r="D23" s="34"/>
      <c r="E23" s="34"/>
      <c r="F23" s="142"/>
      <c r="G23" s="34"/>
      <c r="H23" s="34"/>
      <c r="I23" s="44"/>
      <c r="J23" s="142"/>
      <c r="K23" s="34"/>
      <c r="L23" s="34"/>
      <c r="M23" s="44"/>
      <c r="N23" s="142"/>
      <c r="O23" s="34"/>
      <c r="P23" s="34"/>
      <c r="Q23" s="44"/>
    </row>
    <row r="24" spans="1:17">
      <c r="A24" s="806" t="str">
        <f>'Resid TSM Sum by Rate Schedule'!A25</f>
        <v>Annualized Transformer Cost at 8.05%</v>
      </c>
      <c r="B24" s="147">
        <f>B18*Inputs!$C$5</f>
        <v>937.40106203567234</v>
      </c>
      <c r="C24" s="97">
        <f>C18*Inputs!$C$5</f>
        <v>2688.6133626257069</v>
      </c>
      <c r="D24" s="97"/>
      <c r="E24" s="97">
        <f>E18*Inputs!$C$5</f>
        <v>984.97526139833155</v>
      </c>
      <c r="F24" s="147">
        <f>F18*Inputs!$C$5</f>
        <v>0</v>
      </c>
      <c r="G24" s="97">
        <f>G18*Inputs!$C$5</f>
        <v>0</v>
      </c>
      <c r="H24" s="97">
        <f>H18*Inputs!$C$5</f>
        <v>0</v>
      </c>
      <c r="I24" s="99">
        <f>I18*Inputs!$C$5</f>
        <v>0</v>
      </c>
      <c r="J24" s="147">
        <f>J18*Inputs!$C$5</f>
        <v>0</v>
      </c>
      <c r="K24" s="97">
        <f>K18*Inputs!$C$5</f>
        <v>0</v>
      </c>
      <c r="L24" s="97">
        <f>L18*Inputs!$C$5</f>
        <v>0</v>
      </c>
      <c r="M24" s="99">
        <f>M18*Inputs!$C$5</f>
        <v>0</v>
      </c>
      <c r="N24" s="147">
        <f>N18*Inputs!$C$5</f>
        <v>928.37654629753786</v>
      </c>
      <c r="O24" s="97">
        <f>O18*Inputs!$C$5</f>
        <v>1899.2589178607825</v>
      </c>
      <c r="P24" s="97">
        <f>P18*Inputs!$C$5</f>
        <v>0</v>
      </c>
      <c r="Q24" s="99">
        <f>Q18*Inputs!$C$5</f>
        <v>964.73831598058212</v>
      </c>
    </row>
    <row r="25" spans="1:17">
      <c r="A25" s="806" t="str">
        <f>'Resid TSM Sum by Rate Schedule'!A26</f>
        <v>Annualized Services Cost at 7.08%</v>
      </c>
      <c r="B25" s="147">
        <f>B19*Inputs!$C$6</f>
        <v>101.37321198618994</v>
      </c>
      <c r="C25" s="97">
        <f>C19*Inputs!$C$6</f>
        <v>646.66783321400112</v>
      </c>
      <c r="D25" s="97"/>
      <c r="E25" s="97">
        <f>E19*Inputs!$C$6</f>
        <v>116.18692418598259</v>
      </c>
      <c r="F25" s="147">
        <f>F19*Inputs!$C$6</f>
        <v>231.08232962526188</v>
      </c>
      <c r="G25" s="97">
        <f>G19*Inputs!$C$6</f>
        <v>317.23872872050788</v>
      </c>
      <c r="H25" s="97">
        <f>H19*Inputs!$C$6</f>
        <v>573.87481113187869</v>
      </c>
      <c r="I25" s="99">
        <f>I19*Inputs!$C$6</f>
        <v>280.33412294517814</v>
      </c>
      <c r="J25" s="147">
        <f>J19*Inputs!$C$6</f>
        <v>4350.1674727817417</v>
      </c>
      <c r="K25" s="97">
        <f>K19*Inputs!$C$6</f>
        <v>7576.7333148832422</v>
      </c>
      <c r="L25" s="97">
        <f>L19*Inputs!$C$6</f>
        <v>10803.299156984747</v>
      </c>
      <c r="M25" s="99">
        <f>M19*Inputs!$C$6</f>
        <v>6501.2113675160781</v>
      </c>
      <c r="N25" s="147">
        <f>N19*Inputs!$C$6</f>
        <v>104.30428150089571</v>
      </c>
      <c r="O25" s="97">
        <f>O19*Inputs!$C$6</f>
        <v>658.13938653204775</v>
      </c>
      <c r="P25" s="97">
        <f>P19*Inputs!$C$6</f>
        <v>3131.2308975950959</v>
      </c>
      <c r="Q25" s="99">
        <f>Q19*Inputs!$C$6</f>
        <v>125.84526398322866</v>
      </c>
    </row>
    <row r="26" spans="1:17" ht="15">
      <c r="A26" s="806" t="str">
        <f>'Resid TSM Sum by Rate Schedule'!A27</f>
        <v>Annualized Meter Cost at 10.78%</v>
      </c>
      <c r="B26" s="628">
        <f>B20*Inputs!$C$7</f>
        <v>47.412647413981702</v>
      </c>
      <c r="C26" s="627">
        <f>C20*Inputs!$C$7</f>
        <v>97.317538523143568</v>
      </c>
      <c r="D26" s="627"/>
      <c r="E26" s="627">
        <f>E20*Inputs!$C$7</f>
        <v>48.768385514952733</v>
      </c>
      <c r="F26" s="628">
        <f>F20*Inputs!$C$7</f>
        <v>106.47488686796497</v>
      </c>
      <c r="G26" s="627">
        <f>G20*Inputs!$C$7</f>
        <v>108.80056263807836</v>
      </c>
      <c r="H26" s="627">
        <f>H20*Inputs!$C$7</f>
        <v>108.80056263807836</v>
      </c>
      <c r="I26" s="626">
        <f>I20*Inputs!$C$7</f>
        <v>107.74465237463609</v>
      </c>
      <c r="J26" s="628">
        <f>J20*Inputs!$C$7</f>
        <v>108.80056263807836</v>
      </c>
      <c r="K26" s="627">
        <f>K20*Inputs!$C$7</f>
        <v>108.80056263807836</v>
      </c>
      <c r="L26" s="627">
        <f>L20*Inputs!$C$7</f>
        <v>108.80056263807836</v>
      </c>
      <c r="M26" s="626">
        <f>M20*Inputs!$C$7</f>
        <v>108.8005626380784</v>
      </c>
      <c r="N26" s="628">
        <f>N20*Inputs!$C$7</f>
        <v>47.982199268833092</v>
      </c>
      <c r="O26" s="627">
        <f>O20*Inputs!$C$7</f>
        <v>100.68885856880992</v>
      </c>
      <c r="P26" s="627">
        <f>P20*Inputs!$C$7</f>
        <v>108.80056263807836</v>
      </c>
      <c r="Q26" s="626">
        <f>Q20*Inputs!$C$7</f>
        <v>49.981157495158541</v>
      </c>
    </row>
    <row r="27" spans="1:17">
      <c r="A27" s="621" t="s">
        <v>380</v>
      </c>
      <c r="B27" s="147">
        <f>SUM(B24:B26)</f>
        <v>1086.1869214358439</v>
      </c>
      <c r="C27" s="97">
        <f t="shared" ref="C27:Q27" si="9">SUM(C24:C26)</f>
        <v>3432.5987343628512</v>
      </c>
      <c r="D27" s="97"/>
      <c r="E27" s="97">
        <f t="shared" si="9"/>
        <v>1149.9305710992669</v>
      </c>
      <c r="F27" s="147">
        <f t="shared" si="9"/>
        <v>337.55721649322686</v>
      </c>
      <c r="G27" s="97">
        <f t="shared" si="9"/>
        <v>426.03929135858624</v>
      </c>
      <c r="H27" s="97">
        <f t="shared" si="9"/>
        <v>682.6753737699571</v>
      </c>
      <c r="I27" s="99">
        <f t="shared" si="9"/>
        <v>388.07877531981421</v>
      </c>
      <c r="J27" s="147">
        <f t="shared" si="9"/>
        <v>4458.9680354198199</v>
      </c>
      <c r="K27" s="97">
        <f t="shared" si="9"/>
        <v>7685.5338775213204</v>
      </c>
      <c r="L27" s="97">
        <f t="shared" ref="L27" si="10">SUM(L24:L26)</f>
        <v>10912.099719622825</v>
      </c>
      <c r="M27" s="99">
        <f t="shared" si="9"/>
        <v>6610.0119301541563</v>
      </c>
      <c r="N27" s="147">
        <f t="shared" si="9"/>
        <v>1080.6630270672665</v>
      </c>
      <c r="O27" s="97">
        <f t="shared" si="9"/>
        <v>2658.0871629616399</v>
      </c>
      <c r="P27" s="97">
        <f t="shared" si="9"/>
        <v>3240.0314602331741</v>
      </c>
      <c r="Q27" s="99">
        <f t="shared" si="9"/>
        <v>1140.5647374589694</v>
      </c>
    </row>
    <row r="28" spans="1:17">
      <c r="A28" s="519"/>
      <c r="B28" s="142"/>
      <c r="C28" s="34"/>
      <c r="D28" s="34"/>
      <c r="E28" s="34"/>
      <c r="F28" s="142"/>
      <c r="G28" s="34"/>
      <c r="H28" s="34"/>
      <c r="I28" s="44"/>
      <c r="J28" s="142"/>
      <c r="K28" s="34"/>
      <c r="L28" s="34"/>
      <c r="M28" s="44"/>
      <c r="N28" s="142"/>
      <c r="O28" s="34"/>
      <c r="P28" s="34"/>
      <c r="Q28" s="44"/>
    </row>
    <row r="29" spans="1:17">
      <c r="A29" s="145" t="s">
        <v>50</v>
      </c>
      <c r="B29" s="142">
        <f>'Distribution O&amp;M Allocations'!$S$20</f>
        <v>140.89127316914048</v>
      </c>
      <c r="C29" s="34">
        <f>'Distribution O&amp;M Allocations'!$S$20</f>
        <v>140.89127316914048</v>
      </c>
      <c r="D29" s="34"/>
      <c r="E29" s="34">
        <f>'Distribution O&amp;M Allocations'!$S$20</f>
        <v>140.89127316914048</v>
      </c>
      <c r="F29" s="142">
        <f>'Distribution O&amp;M Allocations'!$T$20</f>
        <v>48.762628822627441</v>
      </c>
      <c r="G29" s="34">
        <f>'Distribution O&amp;M Allocations'!$T$20</f>
        <v>48.762628822627441</v>
      </c>
      <c r="H29" s="34">
        <f>'Distribution O&amp;M Allocations'!$T$20</f>
        <v>48.762628822627441</v>
      </c>
      <c r="I29" s="44">
        <f>'Distribution O&amp;M Allocations'!$T$20</f>
        <v>48.762628822627441</v>
      </c>
      <c r="J29" s="142">
        <f>'Distribution O&amp;M Allocations'!$U$20</f>
        <v>912.85997380929678</v>
      </c>
      <c r="K29" s="34">
        <f>'Distribution O&amp;M Allocations'!$U$20</f>
        <v>912.85997380929678</v>
      </c>
      <c r="L29" s="34">
        <f>'Distribution O&amp;M Allocations'!$U$20</f>
        <v>912.85997380929678</v>
      </c>
      <c r="M29" s="44">
        <f>'Distribution O&amp;M Allocations'!$U$20</f>
        <v>912.85997380929678</v>
      </c>
      <c r="N29" s="142">
        <f>'Distribution O&amp;M Allocations'!$U$24</f>
        <v>139.87155094947821</v>
      </c>
      <c r="O29" s="34">
        <f>'Distribution O&amp;M Allocations'!$U$24</f>
        <v>139.87155094947821</v>
      </c>
      <c r="P29" s="34">
        <f>'Distribution O&amp;M Allocations'!$U$24</f>
        <v>139.87155094947821</v>
      </c>
      <c r="Q29" s="44">
        <f>'Distribution O&amp;M Allocations'!$U$24</f>
        <v>139.87155094947821</v>
      </c>
    </row>
    <row r="30" spans="1:17">
      <c r="A30" s="146"/>
      <c r="B30" s="10"/>
      <c r="C30" s="31"/>
      <c r="D30" s="31"/>
      <c r="E30" s="31"/>
      <c r="F30" s="10"/>
      <c r="G30" s="31"/>
      <c r="H30" s="31"/>
      <c r="I30" s="107"/>
      <c r="J30" s="10"/>
      <c r="K30" s="31"/>
      <c r="L30" s="31"/>
      <c r="M30" s="107"/>
      <c r="N30" s="10"/>
      <c r="O30" s="31"/>
      <c r="P30" s="31"/>
      <c r="Q30" s="107"/>
    </row>
    <row r="31" spans="1:17">
      <c r="A31" s="145" t="s">
        <v>61</v>
      </c>
      <c r="B31" s="197">
        <f>'Cust Service Cost Allocations'!$AA$76</f>
        <v>447.86258547437507</v>
      </c>
      <c r="C31" s="198">
        <f>'Cust Service Cost Allocations'!$AA$76</f>
        <v>447.86258547437507</v>
      </c>
      <c r="D31" s="198"/>
      <c r="E31" s="198">
        <f>'Cust Service Cost Allocations'!$AA$76</f>
        <v>447.86258547437507</v>
      </c>
      <c r="F31" s="197">
        <f>'Cust Service Cost Allocations'!$AA$76</f>
        <v>447.86258547437507</v>
      </c>
      <c r="G31" s="198">
        <f>'Cust Service Cost Allocations'!$AA$76</f>
        <v>447.86258547437507</v>
      </c>
      <c r="H31" s="198">
        <f>'Cust Service Cost Allocations'!$AA$76</f>
        <v>447.86258547437507</v>
      </c>
      <c r="I31" s="382">
        <f>'Cust Service Cost Allocations'!$AA$76</f>
        <v>447.86258547437507</v>
      </c>
      <c r="J31" s="197">
        <f>'Cust Service Cost Allocations'!$AA$76</f>
        <v>447.86258547437507</v>
      </c>
      <c r="K31" s="198">
        <f>'Cust Service Cost Allocations'!$AA$76</f>
        <v>447.86258547437507</v>
      </c>
      <c r="L31" s="198">
        <f>'Cust Service Cost Allocations'!$AA$76</f>
        <v>447.86258547437507</v>
      </c>
      <c r="M31" s="382">
        <f>'Cust Service Cost Allocations'!$AA$76</f>
        <v>447.86258547437507</v>
      </c>
      <c r="N31" s="197">
        <f>'Cust Service Cost Allocations'!$AA$76</f>
        <v>447.86258547437507</v>
      </c>
      <c r="O31" s="198">
        <f>'Cust Service Cost Allocations'!$AA$76</f>
        <v>447.86258547437507</v>
      </c>
      <c r="P31" s="198">
        <f>'Cust Service Cost Allocations'!$AA$76</f>
        <v>447.86258547437507</v>
      </c>
      <c r="Q31" s="382">
        <f>'Cust Service Cost Allocations'!$AA$76</f>
        <v>447.86258547437507</v>
      </c>
    </row>
    <row r="32" spans="1:17" ht="13.5" thickBot="1">
      <c r="A32" s="146"/>
      <c r="B32" s="142"/>
      <c r="C32" s="34"/>
      <c r="D32" s="34"/>
      <c r="E32" s="34"/>
      <c r="F32" s="144"/>
      <c r="G32" s="115"/>
      <c r="H32" s="115"/>
      <c r="I32" s="116"/>
      <c r="J32" s="144"/>
      <c r="K32" s="115"/>
      <c r="L32" s="115"/>
      <c r="M32" s="116"/>
      <c r="N32" s="144"/>
      <c r="O32" s="115"/>
      <c r="P32" s="115"/>
      <c r="Q32" s="116"/>
    </row>
    <row r="33" spans="1:17" ht="13.5" thickBot="1">
      <c r="A33" s="521" t="s">
        <v>165</v>
      </c>
      <c r="B33" s="371">
        <f t="shared" ref="B33:Q33" si="11">B27+B29+B31</f>
        <v>1674.9407800793595</v>
      </c>
      <c r="C33" s="372">
        <f>C27+C29+C31</f>
        <v>4021.3525930063665</v>
      </c>
      <c r="D33" s="372"/>
      <c r="E33" s="383">
        <f t="shared" si="11"/>
        <v>1738.6844297427824</v>
      </c>
      <c r="F33" s="371">
        <f t="shared" si="11"/>
        <v>834.18243079022932</v>
      </c>
      <c r="G33" s="372">
        <f t="shared" si="11"/>
        <v>922.66450565558875</v>
      </c>
      <c r="H33" s="372">
        <f t="shared" si="11"/>
        <v>1179.3005880669596</v>
      </c>
      <c r="I33" s="383">
        <f t="shared" si="11"/>
        <v>884.70398961681667</v>
      </c>
      <c r="J33" s="371">
        <f t="shared" si="11"/>
        <v>5819.690594703492</v>
      </c>
      <c r="K33" s="372">
        <f t="shared" si="11"/>
        <v>9046.2564368049916</v>
      </c>
      <c r="L33" s="372">
        <f t="shared" ref="L33" si="12">L27+L29+L31</f>
        <v>12272.822278906497</v>
      </c>
      <c r="M33" s="383">
        <f t="shared" si="11"/>
        <v>7970.7344894378284</v>
      </c>
      <c r="N33" s="371">
        <f t="shared" si="11"/>
        <v>1668.3971634911197</v>
      </c>
      <c r="O33" s="372">
        <f t="shared" si="11"/>
        <v>3245.8212993854931</v>
      </c>
      <c r="P33" s="372">
        <f t="shared" si="11"/>
        <v>3827.7655966570273</v>
      </c>
      <c r="Q33" s="383">
        <f t="shared" si="11"/>
        <v>1728.2988738828226</v>
      </c>
    </row>
    <row r="34" spans="1:17"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</row>
    <row r="36" spans="1:17">
      <c r="A36" t="s">
        <v>3</v>
      </c>
    </row>
    <row r="44" spans="1:17">
      <c r="A44" s="19"/>
    </row>
    <row r="56" spans="1:1">
      <c r="A56" s="19"/>
    </row>
  </sheetData>
  <mergeCells count="5">
    <mergeCell ref="A1:Q1"/>
    <mergeCell ref="B2:E2"/>
    <mergeCell ref="F2:I2"/>
    <mergeCell ref="N2:Q2"/>
    <mergeCell ref="J2:M2"/>
  </mergeCells>
  <printOptions horizontalCentered="1"/>
  <pageMargins left="0.75" right="0.75" top="1" bottom="1" header="0.5" footer="0.5"/>
  <pageSetup scale="55" orientation="portrait" r:id="rId1"/>
  <headerFooter alignWithMargins="0">
    <oddFooter>&amp;L&amp;F
&amp;A&amp;R&amp;P of &amp;N</oddFooter>
  </headerFooter>
  <colBreaks count="1" manualBreakCount="1">
    <brk id="9" max="29" man="1"/>
  </colBreak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 codeName="Sheet42">
    <tabColor rgb="FFFFC000"/>
  </sheetPr>
  <dimension ref="A1:Q58"/>
  <sheetViews>
    <sheetView zoomScaleNormal="100" workbookViewId="0">
      <selection activeCell="J9" sqref="J9"/>
    </sheetView>
  </sheetViews>
  <sheetFormatPr defaultRowHeight="12.75"/>
  <cols>
    <col min="1" max="1" width="40.7109375" customWidth="1"/>
    <col min="2" max="2" width="10.28515625" style="12" customWidth="1"/>
    <col min="3" max="3" width="17" style="12" bestFit="1" customWidth="1"/>
    <col min="4" max="4" width="8.7109375" style="12" bestFit="1" customWidth="1"/>
    <col min="5" max="5" width="10.28515625" style="12" bestFit="1" customWidth="1"/>
    <col min="6" max="6" width="14" style="12" bestFit="1" customWidth="1"/>
    <col min="7" max="7" width="17.140625" style="12" bestFit="1" customWidth="1"/>
    <col min="8" max="8" width="14.85546875" style="12" bestFit="1" customWidth="1"/>
    <col min="9" max="9" width="13.7109375" style="12" bestFit="1" customWidth="1"/>
    <col min="10" max="10" width="15.140625" style="12" bestFit="1" customWidth="1"/>
    <col min="11" max="11" width="17.140625" style="12" bestFit="1" customWidth="1"/>
    <col min="12" max="12" width="14" style="12" bestFit="1" customWidth="1"/>
    <col min="13" max="13" width="15.85546875" style="12" bestFit="1" customWidth="1"/>
    <col min="14" max="14" width="14.42578125" bestFit="1" customWidth="1"/>
    <col min="15" max="15" width="17.140625" bestFit="1" customWidth="1"/>
    <col min="16" max="16" width="14.85546875" bestFit="1" customWidth="1"/>
    <col min="17" max="17" width="14.42578125" bestFit="1" customWidth="1"/>
  </cols>
  <sheetData>
    <row r="1" spans="1:17" ht="18.75" thickBot="1">
      <c r="A1" s="826" t="s">
        <v>429</v>
      </c>
      <c r="B1" s="826"/>
      <c r="C1" s="826"/>
      <c r="D1" s="826"/>
      <c r="E1" s="826"/>
      <c r="F1" s="826"/>
      <c r="G1" s="826"/>
      <c r="H1" s="826"/>
      <c r="I1" s="826"/>
      <c r="J1" s="826"/>
      <c r="K1" s="826"/>
      <c r="L1" s="826"/>
      <c r="M1" s="826"/>
      <c r="N1" s="845"/>
      <c r="O1" s="845"/>
      <c r="P1" s="845"/>
      <c r="Q1" s="845"/>
    </row>
    <row r="2" spans="1:17" ht="13.5" thickBot="1">
      <c r="A2" s="131"/>
      <c r="B2" s="836" t="s">
        <v>0</v>
      </c>
      <c r="C2" s="830"/>
      <c r="D2" s="830"/>
      <c r="E2" s="831"/>
      <c r="F2" s="827" t="s">
        <v>1</v>
      </c>
      <c r="G2" s="828"/>
      <c r="H2" s="828"/>
      <c r="I2" s="829"/>
      <c r="J2" s="827" t="s">
        <v>99</v>
      </c>
      <c r="K2" s="828"/>
      <c r="L2" s="828"/>
      <c r="M2" s="829"/>
      <c r="N2" s="827" t="s">
        <v>258</v>
      </c>
      <c r="O2" s="828"/>
      <c r="P2" s="828"/>
      <c r="Q2" s="829"/>
    </row>
    <row r="3" spans="1:17" ht="13.5" thickBot="1">
      <c r="A3" s="102" t="s">
        <v>47</v>
      </c>
      <c r="B3" s="402" t="s">
        <v>189</v>
      </c>
      <c r="C3" s="403" t="s">
        <v>139</v>
      </c>
      <c r="D3" s="403" t="s">
        <v>100</v>
      </c>
      <c r="E3" s="613" t="s">
        <v>2</v>
      </c>
      <c r="F3" s="402" t="s">
        <v>189</v>
      </c>
      <c r="G3" s="403" t="s">
        <v>139</v>
      </c>
      <c r="H3" s="403" t="s">
        <v>100</v>
      </c>
      <c r="I3" s="613" t="s">
        <v>2</v>
      </c>
      <c r="J3" s="402" t="s">
        <v>189</v>
      </c>
      <c r="K3" s="403" t="s">
        <v>139</v>
      </c>
      <c r="L3" s="403" t="s">
        <v>100</v>
      </c>
      <c r="M3" s="613" t="s">
        <v>2</v>
      </c>
      <c r="N3" s="402" t="s">
        <v>189</v>
      </c>
      <c r="O3" s="403" t="s">
        <v>139</v>
      </c>
      <c r="P3" s="403" t="s">
        <v>100</v>
      </c>
      <c r="Q3" s="613" t="s">
        <v>2</v>
      </c>
    </row>
    <row r="4" spans="1:17">
      <c r="A4" s="516"/>
      <c r="B4" s="132"/>
      <c r="C4" s="8"/>
      <c r="D4" s="8"/>
      <c r="E4" s="8"/>
      <c r="F4" s="5"/>
      <c r="G4" s="6"/>
      <c r="H4" s="6"/>
      <c r="I4" s="7"/>
      <c r="J4" s="5"/>
      <c r="K4" s="6"/>
      <c r="L4" s="6"/>
      <c r="M4" s="7"/>
      <c r="N4" s="5"/>
      <c r="O4" s="6"/>
      <c r="P4" s="6"/>
      <c r="Q4" s="7"/>
    </row>
    <row r="5" spans="1:17">
      <c r="A5" s="145"/>
      <c r="B5" s="132"/>
      <c r="C5" s="8"/>
      <c r="D5" s="8"/>
      <c r="E5" s="8"/>
      <c r="F5" s="132"/>
      <c r="G5" s="8"/>
      <c r="H5" s="8"/>
      <c r="I5" s="9"/>
      <c r="J5" s="132"/>
      <c r="K5" s="8"/>
      <c r="L5" s="8"/>
      <c r="M5" s="9"/>
      <c r="N5" s="132"/>
      <c r="O5" s="8"/>
      <c r="P5" s="8"/>
      <c r="Q5" s="9"/>
    </row>
    <row r="6" spans="1:17">
      <c r="A6" s="145" t="s">
        <v>49</v>
      </c>
      <c r="B6" s="142"/>
      <c r="C6" s="34"/>
      <c r="D6" s="34"/>
      <c r="E6" s="34"/>
      <c r="F6" s="142"/>
      <c r="G6" s="34"/>
      <c r="H6" s="34"/>
      <c r="I6" s="44"/>
      <c r="J6" s="142"/>
      <c r="K6" s="34"/>
      <c r="L6" s="34"/>
      <c r="M6" s="44"/>
      <c r="N6" s="142"/>
      <c r="O6" s="34"/>
      <c r="P6" s="34"/>
      <c r="Q6" s="44"/>
    </row>
    <row r="7" spans="1:17">
      <c r="A7" s="517"/>
      <c r="B7" s="142"/>
      <c r="C7" s="34"/>
      <c r="D7" s="34"/>
      <c r="E7" s="34"/>
      <c r="F7" s="142"/>
      <c r="G7" s="34"/>
      <c r="H7" s="34"/>
      <c r="I7" s="44"/>
      <c r="J7" s="142"/>
      <c r="K7" s="34"/>
      <c r="L7" s="34"/>
      <c r="M7" s="44"/>
      <c r="N7" s="142"/>
      <c r="O7" s="34"/>
      <c r="P7" s="34"/>
      <c r="Q7" s="44"/>
    </row>
    <row r="8" spans="1:17">
      <c r="A8" s="145" t="s">
        <v>53</v>
      </c>
      <c r="B8" s="143">
        <f>'Sch AL-TOU TSM Summary'!B8*Inputs!$C$12</f>
        <v>12116.574323198349</v>
      </c>
      <c r="C8" s="163">
        <f>'Sch AL-TOU TSM Summary'!C8*Inputs!$C$12</f>
        <v>34752.236746835391</v>
      </c>
      <c r="D8" s="163"/>
      <c r="E8" s="163">
        <f>'Sch AL-TOU TSM Summary'!E8*Inputs!$C$12</f>
        <v>12731.504629755203</v>
      </c>
      <c r="F8" s="143">
        <f>'Sch AL-TOU TSM Summary'!F8*Inputs!$C$12</f>
        <v>0</v>
      </c>
      <c r="G8" s="163">
        <f>'Sch AL-TOU TSM Summary'!G8*Inputs!$C$12</f>
        <v>0</v>
      </c>
      <c r="H8" s="163">
        <f>'Sch AL-TOU TSM Summary'!H8*Inputs!$C$12</f>
        <v>0</v>
      </c>
      <c r="I8" s="49">
        <f>'Sch AL-TOU TSM Summary'!I8*Inputs!$C$12</f>
        <v>0</v>
      </c>
      <c r="J8" s="143">
        <f>'Sch AL-TOU TSM Summary'!J8*Inputs!$C$12</f>
        <v>0</v>
      </c>
      <c r="K8" s="163">
        <f>'Sch AL-TOU TSM Summary'!K8*Inputs!$C$12</f>
        <v>0</v>
      </c>
      <c r="L8" s="163">
        <f>'Sch AL-TOU TSM Summary'!L8*Inputs!$C$12</f>
        <v>0</v>
      </c>
      <c r="M8" s="49">
        <f>'Sch AL-TOU TSM Summary'!M8*Inputs!$C$12</f>
        <v>0</v>
      </c>
      <c r="N8" s="143">
        <f>'Sch AL-TOU TSM Summary'!N8*Inputs!$C$12</f>
        <v>11999.926049475976</v>
      </c>
      <c r="O8" s="163">
        <f>'Sch AL-TOU TSM Summary'!O8*Inputs!$C$12</f>
        <v>24549.270071534989</v>
      </c>
      <c r="P8" s="163">
        <f>'Sch AL-TOU TSM Summary'!P8*Inputs!$C$12</f>
        <v>0</v>
      </c>
      <c r="Q8" s="49">
        <f>'Sch AL-TOU TSM Summary'!Q8*Inputs!$C$12</f>
        <v>12469.927741100752</v>
      </c>
    </row>
    <row r="9" spans="1:17">
      <c r="A9" s="145" t="s">
        <v>51</v>
      </c>
      <c r="B9" s="143">
        <f>'Sch AL-TOU TSM Summary'!B9*Inputs!$C$12</f>
        <v>1489.9720478713107</v>
      </c>
      <c r="C9" s="163">
        <f>'Sch AL-TOU TSM Summary'!C9*Inputs!$C$12</f>
        <v>9504.650951354175</v>
      </c>
      <c r="D9" s="163"/>
      <c r="E9" s="163">
        <f>'Sch AL-TOU TSM Summary'!E9*Inputs!$C$12</f>
        <v>1707.7023206963265</v>
      </c>
      <c r="F9" s="143">
        <f>'Sch AL-TOU TSM Summary'!F9*Inputs!$C$12</f>
        <v>3396.4220443713425</v>
      </c>
      <c r="G9" s="163">
        <f>'Sch AL-TOU TSM Summary'!G9*Inputs!$C$12</f>
        <v>4662.739090877174</v>
      </c>
      <c r="H9" s="163">
        <f>'Sch AL-TOU TSM Summary'!H9*Inputs!$C$12</f>
        <v>8434.7473145115619</v>
      </c>
      <c r="I9" s="49">
        <f>'Sch AL-TOU TSM Summary'!I9*Inputs!$C$12</f>
        <v>4120.3193532995356</v>
      </c>
      <c r="J9" s="143">
        <f>'Sch AL-TOU TSM Summary'!J9*Inputs!$C$12</f>
        <v>63938.271373770483</v>
      </c>
      <c r="K9" s="163">
        <f>'Sch AL-TOU TSM Summary'!K9*Inputs!$C$12</f>
        <v>111361.97257801486</v>
      </c>
      <c r="L9" s="163">
        <f>'Sch AL-TOU TSM Summary'!L9*Inputs!$C$12</f>
        <v>158785.67378225925</v>
      </c>
      <c r="M9" s="49">
        <f>'Sch AL-TOU TSM Summary'!M9*Inputs!$C$12</f>
        <v>95554.072176600108</v>
      </c>
      <c r="N9" s="143">
        <f>'Sch AL-TOU TSM Summary'!N9*Inputs!$C$12</f>
        <v>1533.0525773495942</v>
      </c>
      <c r="O9" s="163">
        <f>'Sch AL-TOU TSM Summary'!O9*Inputs!$C$12</f>
        <v>9673.2585495023268</v>
      </c>
      <c r="P9" s="163">
        <f>'Sch AL-TOU TSM Summary'!P9*Inputs!$C$12</f>
        <v>46022.478931448488</v>
      </c>
      <c r="Q9" s="49">
        <f>'Sch AL-TOU TSM Summary'!Q9*Inputs!$C$12</f>
        <v>1849.6595108137724</v>
      </c>
    </row>
    <row r="10" spans="1:17">
      <c r="A10" s="145" t="s">
        <v>52</v>
      </c>
      <c r="B10" s="143">
        <f>'Sch AL-TOU TSM Summary'!B10*Inputs!$C$12</f>
        <v>457.66298787768625</v>
      </c>
      <c r="C10" s="163">
        <f>'Sch AL-TOU TSM Summary'!C10*Inputs!$C$12</f>
        <v>939.3830102866084</v>
      </c>
      <c r="D10" s="163"/>
      <c r="E10" s="163">
        <f>'Sch AL-TOU TSM Summary'!E10*Inputs!$C$12</f>
        <v>470.74960471754332</v>
      </c>
      <c r="F10" s="143">
        <f>'Sch AL-TOU TSM Summary'!F10*Inputs!$C$12</f>
        <v>1027.7767118222846</v>
      </c>
      <c r="G10" s="163">
        <f>'Sch AL-TOU TSM Summary'!G10*Inputs!$C$12</f>
        <v>1050.2259058630914</v>
      </c>
      <c r="H10" s="163">
        <f>'Sch AL-TOU TSM Summary'!H10*Inputs!$C$12</f>
        <v>1050.2259058630914</v>
      </c>
      <c r="I10" s="49">
        <f>'Sch AL-TOU TSM Summary'!I10*Inputs!$C$12</f>
        <v>1040.0334556951391</v>
      </c>
      <c r="J10" s="143">
        <f>'Sch AL-TOU TSM Summary'!J10*Inputs!$C$12</f>
        <v>1050.2259058630914</v>
      </c>
      <c r="K10" s="163">
        <f>'Sch AL-TOU TSM Summary'!K10*Inputs!$C$12</f>
        <v>1050.2259058630914</v>
      </c>
      <c r="L10" s="163">
        <f>'Sch AL-TOU TSM Summary'!L10*Inputs!$C$12</f>
        <v>1050.2259058630914</v>
      </c>
      <c r="M10" s="49">
        <f>'Sch AL-TOU TSM Summary'!M10*Inputs!$C$12</f>
        <v>1050.2259058630918</v>
      </c>
      <c r="N10" s="143">
        <f>'Sch AL-TOU TSM Summary'!N10*Inputs!$C$12</f>
        <v>463.16073621826291</v>
      </c>
      <c r="O10" s="163">
        <f>'Sch AL-TOU TSM Summary'!O10*Inputs!$C$12</f>
        <v>971.92555936047847</v>
      </c>
      <c r="P10" s="163">
        <f>'Sch AL-TOU TSM Summary'!P10*Inputs!$C$12</f>
        <v>1050.2259058630914</v>
      </c>
      <c r="Q10" s="49">
        <f>'Sch AL-TOU TSM Summary'!Q10*Inputs!$C$12</f>
        <v>482.45620365999451</v>
      </c>
    </row>
    <row r="11" spans="1:17">
      <c r="A11" s="518"/>
      <c r="B11" s="142"/>
      <c r="C11" s="34"/>
      <c r="D11" s="34"/>
      <c r="E11" s="34"/>
      <c r="F11" s="142"/>
      <c r="G11" s="34"/>
      <c r="H11" s="34"/>
      <c r="I11" s="44"/>
      <c r="J11" s="142"/>
      <c r="K11" s="34"/>
      <c r="L11" s="34"/>
      <c r="M11" s="44"/>
      <c r="N11" s="142"/>
      <c r="O11" s="34"/>
      <c r="P11" s="34"/>
      <c r="Q11" s="44"/>
    </row>
    <row r="12" spans="1:17">
      <c r="A12" s="145" t="s">
        <v>35</v>
      </c>
      <c r="B12" s="142">
        <f t="shared" ref="B12:Q12" si="0">SUM(B8:B10)</f>
        <v>14064.209358947346</v>
      </c>
      <c r="C12" s="34">
        <f t="shared" si="0"/>
        <v>45196.270708476171</v>
      </c>
      <c r="D12" s="34"/>
      <c r="E12" s="34">
        <f t="shared" si="0"/>
        <v>14909.956555169072</v>
      </c>
      <c r="F12" s="142">
        <f t="shared" si="0"/>
        <v>4424.1987561936276</v>
      </c>
      <c r="G12" s="34">
        <f t="shared" si="0"/>
        <v>5712.9649967402656</v>
      </c>
      <c r="H12" s="34">
        <f t="shared" si="0"/>
        <v>9484.9732203746535</v>
      </c>
      <c r="I12" s="44">
        <f t="shared" si="0"/>
        <v>5160.3528089946749</v>
      </c>
      <c r="J12" s="142">
        <f t="shared" si="0"/>
        <v>64988.497279633571</v>
      </c>
      <c r="K12" s="34">
        <f t="shared" si="0"/>
        <v>112412.19848387795</v>
      </c>
      <c r="L12" s="34">
        <f t="shared" si="0"/>
        <v>159835.89968812236</v>
      </c>
      <c r="M12" s="44">
        <f t="shared" si="0"/>
        <v>96604.298082463196</v>
      </c>
      <c r="N12" s="142">
        <f t="shared" si="0"/>
        <v>13996.139363043832</v>
      </c>
      <c r="O12" s="34">
        <f t="shared" si="0"/>
        <v>35194.454180397792</v>
      </c>
      <c r="P12" s="34">
        <f t="shared" si="0"/>
        <v>47072.704837311576</v>
      </c>
      <c r="Q12" s="44">
        <f t="shared" si="0"/>
        <v>14802.043455574518</v>
      </c>
    </row>
    <row r="13" spans="1:17">
      <c r="A13" s="518"/>
      <c r="B13" s="142"/>
      <c r="C13" s="34"/>
      <c r="D13" s="34"/>
      <c r="E13" s="34"/>
      <c r="F13" s="142"/>
      <c r="G13" s="34"/>
      <c r="H13" s="34"/>
      <c r="I13" s="44"/>
      <c r="J13" s="142"/>
      <c r="K13" s="34"/>
      <c r="L13" s="34"/>
      <c r="M13" s="44"/>
      <c r="N13" s="142"/>
      <c r="O13" s="34"/>
      <c r="P13" s="34"/>
      <c r="Q13" s="44"/>
    </row>
    <row r="14" spans="1:17">
      <c r="A14" s="145" t="s">
        <v>65</v>
      </c>
      <c r="B14" s="142"/>
      <c r="C14" s="34"/>
      <c r="D14" s="34"/>
      <c r="E14" s="34"/>
      <c r="F14" s="142"/>
      <c r="G14" s="34"/>
      <c r="H14" s="34"/>
      <c r="I14" s="44"/>
      <c r="J14" s="142"/>
      <c r="K14" s="34"/>
      <c r="L14" s="34"/>
      <c r="M14" s="44"/>
      <c r="N14" s="142"/>
      <c r="O14" s="34"/>
      <c r="P14" s="34"/>
      <c r="Q14" s="44"/>
    </row>
    <row r="15" spans="1:17">
      <c r="A15" s="519">
        <f>Inputs!C3</f>
        <v>2.7723662892949787E-2</v>
      </c>
      <c r="B15" s="142"/>
      <c r="C15" s="34"/>
      <c r="D15" s="34"/>
      <c r="E15" s="34"/>
      <c r="F15" s="142"/>
      <c r="G15" s="34"/>
      <c r="H15" s="34"/>
      <c r="I15" s="44"/>
      <c r="J15" s="142"/>
      <c r="K15" s="34"/>
      <c r="L15" s="34"/>
      <c r="M15" s="44"/>
      <c r="N15" s="142"/>
      <c r="O15" s="34"/>
      <c r="P15" s="34"/>
      <c r="Q15" s="44"/>
    </row>
    <row r="16" spans="1:17">
      <c r="A16" s="40" t="s">
        <v>64</v>
      </c>
      <c r="B16" s="142"/>
      <c r="C16" s="34"/>
      <c r="D16" s="34"/>
      <c r="E16" s="34"/>
      <c r="F16" s="142"/>
      <c r="G16" s="34"/>
      <c r="H16" s="34"/>
      <c r="I16" s="44"/>
      <c r="J16" s="142"/>
      <c r="K16" s="34"/>
      <c r="L16" s="34"/>
      <c r="M16" s="44"/>
      <c r="N16" s="142"/>
      <c r="O16" s="34"/>
      <c r="P16" s="34"/>
      <c r="Q16" s="44"/>
    </row>
    <row r="17" spans="1:17">
      <c r="A17" s="53">
        <f>Inputs!C4</f>
        <v>1.5023E-2</v>
      </c>
      <c r="B17" s="142"/>
      <c r="C17" s="34"/>
      <c r="D17" s="34"/>
      <c r="E17" s="34"/>
      <c r="F17" s="142"/>
      <c r="G17" s="34"/>
      <c r="H17" s="34"/>
      <c r="I17" s="44"/>
      <c r="J17" s="142"/>
      <c r="K17" s="34"/>
      <c r="L17" s="34"/>
      <c r="M17" s="44"/>
      <c r="N17" s="142"/>
      <c r="O17" s="34"/>
      <c r="P17" s="34"/>
      <c r="Q17" s="44"/>
    </row>
    <row r="18" spans="1:17">
      <c r="A18" s="520" t="s">
        <v>111</v>
      </c>
      <c r="B18" s="142">
        <f t="shared" ref="B18:E20" si="1">(B8*(1+$A$15)*(1+$A$17))</f>
        <v>12639.56390460269</v>
      </c>
      <c r="C18" s="34">
        <f t="shared" si="1"/>
        <v>36252.252944837339</v>
      </c>
      <c r="D18" s="34"/>
      <c r="E18" s="34">
        <f t="shared" si="1"/>
        <v>13281.036543591186</v>
      </c>
      <c r="F18" s="142">
        <f t="shared" ref="F18:Q18" si="2">(F8*(1+$A$15)*(1+$A$17))</f>
        <v>0</v>
      </c>
      <c r="G18" s="34">
        <f t="shared" si="2"/>
        <v>0</v>
      </c>
      <c r="H18" s="34">
        <f t="shared" si="2"/>
        <v>0</v>
      </c>
      <c r="I18" s="44">
        <f t="shared" si="2"/>
        <v>0</v>
      </c>
      <c r="J18" s="142">
        <f t="shared" si="2"/>
        <v>0</v>
      </c>
      <c r="K18" s="34">
        <f t="shared" si="2"/>
        <v>0</v>
      </c>
      <c r="L18" s="34">
        <f t="shared" si="2"/>
        <v>0</v>
      </c>
      <c r="M18" s="44">
        <f t="shared" si="2"/>
        <v>0</v>
      </c>
      <c r="N18" s="142">
        <f t="shared" si="2"/>
        <v>12517.880723305097</v>
      </c>
      <c r="O18" s="34">
        <f t="shared" si="2"/>
        <v>25608.894032567663</v>
      </c>
      <c r="P18" s="34">
        <f t="shared" si="2"/>
        <v>0</v>
      </c>
      <c r="Q18" s="44">
        <f t="shared" si="2"/>
        <v>13008.169171021613</v>
      </c>
    </row>
    <row r="19" spans="1:17">
      <c r="A19" s="520" t="s">
        <v>51</v>
      </c>
      <c r="B19" s="142">
        <f t="shared" si="1"/>
        <v>1554.283943035314</v>
      </c>
      <c r="C19" s="34">
        <f t="shared" si="1"/>
        <v>9914.9016781562186</v>
      </c>
      <c r="D19" s="34"/>
      <c r="E19" s="34">
        <f t="shared" si="1"/>
        <v>1781.4121414791073</v>
      </c>
      <c r="F19" s="142">
        <f t="shared" ref="F19:Q19" si="3">(F9*(1+$A$15)*(1+$A$17))</f>
        <v>3543.0223371502479</v>
      </c>
      <c r="G19" s="34">
        <f t="shared" si="3"/>
        <v>4863.9976232221334</v>
      </c>
      <c r="H19" s="34">
        <f t="shared" si="3"/>
        <v>8798.8176242873196</v>
      </c>
      <c r="I19" s="44">
        <f t="shared" si="3"/>
        <v>4298.1653381756905</v>
      </c>
      <c r="J19" s="142">
        <f t="shared" si="3"/>
        <v>66698.048922236732</v>
      </c>
      <c r="K19" s="34">
        <f t="shared" si="3"/>
        <v>116168.70671502498</v>
      </c>
      <c r="L19" s="34">
        <f t="shared" si="3"/>
        <v>165639.36450781324</v>
      </c>
      <c r="M19" s="44">
        <f t="shared" si="3"/>
        <v>99678.487450762274</v>
      </c>
      <c r="N19" s="142">
        <f t="shared" si="3"/>
        <v>1599.2239641056549</v>
      </c>
      <c r="O19" s="34">
        <f t="shared" si="3"/>
        <v>10090.786912278447</v>
      </c>
      <c r="P19" s="34">
        <f t="shared" si="3"/>
        <v>48008.954345168801</v>
      </c>
      <c r="Q19" s="44">
        <f t="shared" si="3"/>
        <v>1929.4966518651804</v>
      </c>
    </row>
    <row r="20" spans="1:17">
      <c r="A20" s="520" t="s">
        <v>52</v>
      </c>
      <c r="B20" s="142">
        <f t="shared" si="1"/>
        <v>477.41716658116246</v>
      </c>
      <c r="C20" s="34">
        <f t="shared" si="1"/>
        <v>979.92974521543454</v>
      </c>
      <c r="D20" s="34"/>
      <c r="E20" s="34">
        <f t="shared" si="1"/>
        <v>491.06864309839324</v>
      </c>
      <c r="F20" s="142">
        <f t="shared" ref="F20:Q20" si="4">(F10*(1+$A$15)*(1+$A$17))</f>
        <v>1072.1387978339999</v>
      </c>
      <c r="G20" s="34">
        <f t="shared" si="4"/>
        <v>1095.5569699276041</v>
      </c>
      <c r="H20" s="34">
        <f t="shared" si="4"/>
        <v>1095.5569699276041</v>
      </c>
      <c r="I20" s="44">
        <f t="shared" si="4"/>
        <v>1084.9245814483243</v>
      </c>
      <c r="J20" s="142">
        <f t="shared" si="4"/>
        <v>1095.5569699276041</v>
      </c>
      <c r="K20" s="34">
        <f t="shared" si="4"/>
        <v>1095.5569699276041</v>
      </c>
      <c r="L20" s="34">
        <f t="shared" si="4"/>
        <v>1095.5569699276041</v>
      </c>
      <c r="M20" s="44">
        <f t="shared" si="4"/>
        <v>1095.5569699276045</v>
      </c>
      <c r="N20" s="142">
        <f t="shared" si="4"/>
        <v>483.15221508815659</v>
      </c>
      <c r="O20" s="34">
        <f t="shared" si="4"/>
        <v>1013.8769333947148</v>
      </c>
      <c r="P20" s="34">
        <f t="shared" si="4"/>
        <v>1095.5569699276041</v>
      </c>
      <c r="Q20" s="44">
        <f t="shared" si="4"/>
        <v>503.28053579114635</v>
      </c>
    </row>
    <row r="21" spans="1:17">
      <c r="A21" s="145"/>
      <c r="B21" s="147"/>
      <c r="C21" s="97"/>
      <c r="D21" s="97"/>
      <c r="E21" s="97"/>
      <c r="F21" s="147"/>
      <c r="G21" s="97"/>
      <c r="H21" s="97"/>
      <c r="I21" s="99"/>
      <c r="J21" s="147"/>
      <c r="K21" s="97"/>
      <c r="L21" s="97"/>
      <c r="M21" s="99"/>
      <c r="N21" s="147"/>
      <c r="O21" s="97"/>
      <c r="P21" s="97"/>
      <c r="Q21" s="99"/>
    </row>
    <row r="22" spans="1:17">
      <c r="A22" s="145" t="s">
        <v>35</v>
      </c>
      <c r="B22" s="147">
        <f t="shared" ref="B22:I22" si="5">B18+B19+B20</f>
        <v>14671.265014219167</v>
      </c>
      <c r="C22" s="97">
        <f t="shared" si="5"/>
        <v>47147.084368208991</v>
      </c>
      <c r="D22" s="97"/>
      <c r="E22" s="97">
        <f t="shared" si="5"/>
        <v>15553.517328168688</v>
      </c>
      <c r="F22" s="147">
        <f t="shared" si="5"/>
        <v>4615.1611349842478</v>
      </c>
      <c r="G22" s="97">
        <f t="shared" si="5"/>
        <v>5959.5545931497372</v>
      </c>
      <c r="H22" s="97">
        <f t="shared" ref="H22" si="6">H18+H19+H20</f>
        <v>9894.3745942149235</v>
      </c>
      <c r="I22" s="99">
        <f t="shared" si="5"/>
        <v>5383.0899196240152</v>
      </c>
      <c r="J22" s="147">
        <f t="shared" ref="J22:Q22" si="7">J18+J19+J20</f>
        <v>67793.605892164342</v>
      </c>
      <c r="K22" s="97">
        <f t="shared" si="7"/>
        <v>117264.26368495259</v>
      </c>
      <c r="L22" s="97">
        <f t="shared" ref="L22" si="8">L18+L19+L20</f>
        <v>166734.92147774083</v>
      </c>
      <c r="M22" s="99">
        <f t="shared" si="7"/>
        <v>100774.04442068988</v>
      </c>
      <c r="N22" s="147">
        <f t="shared" si="7"/>
        <v>14600.25690249891</v>
      </c>
      <c r="O22" s="97">
        <f t="shared" si="7"/>
        <v>36713.557878240827</v>
      </c>
      <c r="P22" s="97">
        <f t="shared" ref="P22" si="9">P18+P19+P20</f>
        <v>49104.511315096403</v>
      </c>
      <c r="Q22" s="99">
        <f t="shared" si="7"/>
        <v>15440.946358677938</v>
      </c>
    </row>
    <row r="23" spans="1:17">
      <c r="A23" s="145"/>
      <c r="B23" s="142"/>
      <c r="C23" s="34"/>
      <c r="D23" s="34"/>
      <c r="E23" s="34"/>
      <c r="F23" s="142"/>
      <c r="G23" s="34"/>
      <c r="H23" s="34"/>
      <c r="I23" s="44"/>
      <c r="J23" s="142"/>
      <c r="K23" s="34"/>
      <c r="L23" s="34"/>
      <c r="M23" s="44"/>
      <c r="N23" s="142"/>
      <c r="O23" s="34"/>
      <c r="P23" s="34"/>
      <c r="Q23" s="44"/>
    </row>
    <row r="24" spans="1:17">
      <c r="A24" s="806" t="str">
        <f>'Resid TSM Sum by Rate Schedule'!A25</f>
        <v>Annualized Transformer Cost at 8.05%</v>
      </c>
      <c r="B24" s="147">
        <f>B18*Inputs!$C$5</f>
        <v>1017.215198049502</v>
      </c>
      <c r="C24" s="97">
        <f>C18*Inputs!$C$5</f>
        <v>2917.5328308277199</v>
      </c>
      <c r="D24" s="97"/>
      <c r="E24" s="97">
        <f>E18*Inputs!$C$5</f>
        <v>1068.8400580871498</v>
      </c>
      <c r="F24" s="147">
        <f>F18*Inputs!$C$5</f>
        <v>0</v>
      </c>
      <c r="G24" s="97">
        <f>G18*Inputs!$C$5</f>
        <v>0</v>
      </c>
      <c r="H24" s="97">
        <f>H18*Inputs!$C$5</f>
        <v>0</v>
      </c>
      <c r="I24" s="99">
        <f>I18*Inputs!$C$5</f>
        <v>0</v>
      </c>
      <c r="J24" s="147">
        <f>J18*Inputs!$C$5</f>
        <v>0</v>
      </c>
      <c r="K24" s="97">
        <f>K18*Inputs!$C$5</f>
        <v>0</v>
      </c>
      <c r="L24" s="97">
        <f>L18*Inputs!$C$5</f>
        <v>0</v>
      </c>
      <c r="M24" s="99">
        <f>M18*Inputs!$C$5</f>
        <v>0</v>
      </c>
      <c r="N24" s="147">
        <f>N18*Inputs!$C$5</f>
        <v>1007.4222983658467</v>
      </c>
      <c r="O24" s="97">
        <f>O18*Inputs!$C$5</f>
        <v>2060.9695407039335</v>
      </c>
      <c r="P24" s="97">
        <f>P18*Inputs!$C$5</f>
        <v>0</v>
      </c>
      <c r="Q24" s="99">
        <f>Q18*Inputs!$C$5</f>
        <v>1046.8800568937122</v>
      </c>
    </row>
    <row r="25" spans="1:17">
      <c r="A25" s="806" t="str">
        <f>'Resid TSM Sum by Rate Schedule'!A26</f>
        <v>Annualized Services Cost at 7.08%</v>
      </c>
      <c r="B25" s="147">
        <f>B19*Inputs!$C$6</f>
        <v>110.00453923480005</v>
      </c>
      <c r="C25" s="97">
        <f>C19*Inputs!$C$6</f>
        <v>701.72776058791203</v>
      </c>
      <c r="D25" s="97"/>
      <c r="E25" s="97">
        <f>E19*Inputs!$C$6</f>
        <v>126.07955109411773</v>
      </c>
      <c r="F25" s="147">
        <f>F19*Inputs!$C$6</f>
        <v>250.75761828671364</v>
      </c>
      <c r="G25" s="97">
        <f>G19*Inputs!$C$6</f>
        <v>344.24972334000142</v>
      </c>
      <c r="H25" s="97">
        <f>H19*Inputs!$C$6</f>
        <v>622.7368447753264</v>
      </c>
      <c r="I25" s="99">
        <f>I19*Inputs!$C$6</f>
        <v>304.20290944887074</v>
      </c>
      <c r="J25" s="147">
        <f>J19*Inputs!$C$6</f>
        <v>4720.5584104680556</v>
      </c>
      <c r="K25" s="97">
        <f>K19*Inputs!$C$6</f>
        <v>8221.8471811096879</v>
      </c>
      <c r="L25" s="97">
        <f>L19*Inputs!$C$6</f>
        <v>11723.135951751319</v>
      </c>
      <c r="M25" s="99">
        <f>M19*Inputs!$C$6</f>
        <v>7054.7509242291462</v>
      </c>
      <c r="N25" s="147">
        <f>N19*Inputs!$C$6</f>
        <v>113.18517191983625</v>
      </c>
      <c r="O25" s="97">
        <f>O19*Inputs!$C$6</f>
        <v>714.17604857577874</v>
      </c>
      <c r="P25" s="97">
        <f>P19*Inputs!$C$6</f>
        <v>3397.8366215193246</v>
      </c>
      <c r="Q25" s="99">
        <f>Q19*Inputs!$C$6</f>
        <v>136.56024119313449</v>
      </c>
    </row>
    <row r="26" spans="1:17" ht="15">
      <c r="A26" s="806" t="str">
        <f>'Resid TSM Sum by Rate Schedule'!A27</f>
        <v>Annualized Meter Cost at 10.78%</v>
      </c>
      <c r="B26" s="628">
        <f>B20*Inputs!$C$7</f>
        <v>51.44955289951367</v>
      </c>
      <c r="C26" s="627">
        <f>C20*Inputs!$C$7</f>
        <v>105.60354925087807</v>
      </c>
      <c r="D26" s="627"/>
      <c r="E26" s="627">
        <f>E20*Inputs!$C$7</f>
        <v>52.920724052112618</v>
      </c>
      <c r="F26" s="628">
        <f>F20*Inputs!$C$7</f>
        <v>115.54059144918455</v>
      </c>
      <c r="G26" s="627">
        <f>G20*Inputs!$C$7</f>
        <v>118.06428470589732</v>
      </c>
      <c r="H26" s="627">
        <f>H20*Inputs!$C$7</f>
        <v>118.06428470589732</v>
      </c>
      <c r="I26" s="626">
        <f>I20*Inputs!$C$7</f>
        <v>116.91846995141282</v>
      </c>
      <c r="J26" s="628">
        <f>J20*Inputs!$C$7</f>
        <v>118.06428470589732</v>
      </c>
      <c r="K26" s="627">
        <f>K20*Inputs!$C$7</f>
        <v>118.06428470589732</v>
      </c>
      <c r="L26" s="627">
        <f>L20*Inputs!$C$7</f>
        <v>118.06428470589732</v>
      </c>
      <c r="M26" s="626">
        <f>M20*Inputs!$C$7</f>
        <v>118.06428470589738</v>
      </c>
      <c r="N26" s="628">
        <f>N20*Inputs!$C$7</f>
        <v>52.067598713942317</v>
      </c>
      <c r="O26" s="627">
        <f>O20*Inputs!$C$7</f>
        <v>109.26191718625626</v>
      </c>
      <c r="P26" s="627">
        <f>P20*Inputs!$C$7</f>
        <v>118.06428470589732</v>
      </c>
      <c r="Q26" s="626">
        <f>Q20*Inputs!$C$7</f>
        <v>54.236756367410969</v>
      </c>
    </row>
    <row r="27" spans="1:17">
      <c r="A27" s="621" t="s">
        <v>380</v>
      </c>
      <c r="B27" s="147">
        <f>SUM(B24:B26)</f>
        <v>1178.6692901838157</v>
      </c>
      <c r="C27" s="97">
        <f t="shared" ref="C27:Q27" si="10">SUM(C24:C26)</f>
        <v>3724.8641406665101</v>
      </c>
      <c r="D27" s="97"/>
      <c r="E27" s="97">
        <f t="shared" si="10"/>
        <v>1247.8403332333801</v>
      </c>
      <c r="F27" s="147">
        <f t="shared" si="10"/>
        <v>366.29820973589818</v>
      </c>
      <c r="G27" s="97">
        <f t="shared" si="10"/>
        <v>462.31400804589873</v>
      </c>
      <c r="H27" s="97">
        <f t="shared" si="10"/>
        <v>740.80112948122371</v>
      </c>
      <c r="I27" s="99">
        <f t="shared" si="10"/>
        <v>421.12137940028356</v>
      </c>
      <c r="J27" s="147">
        <f t="shared" si="10"/>
        <v>4838.6226951739527</v>
      </c>
      <c r="K27" s="97">
        <f t="shared" si="10"/>
        <v>8339.911465815585</v>
      </c>
      <c r="L27" s="97">
        <f t="shared" ref="L27" si="11">SUM(L24:L26)</f>
        <v>11841.200236457216</v>
      </c>
      <c r="M27" s="99">
        <f t="shared" si="10"/>
        <v>7172.8152089350433</v>
      </c>
      <c r="N27" s="147">
        <f t="shared" si="10"/>
        <v>1172.6750689996252</v>
      </c>
      <c r="O27" s="97">
        <f t="shared" si="10"/>
        <v>2884.4075064659683</v>
      </c>
      <c r="P27" s="97">
        <f t="shared" si="10"/>
        <v>3515.9009062252221</v>
      </c>
      <c r="Q27" s="99">
        <f t="shared" si="10"/>
        <v>1237.6770544542576</v>
      </c>
    </row>
    <row r="28" spans="1:17">
      <c r="A28" s="519"/>
      <c r="B28" s="142"/>
      <c r="C28" s="34"/>
      <c r="D28" s="34"/>
      <c r="E28" s="34"/>
      <c r="F28" s="142"/>
      <c r="G28" s="34"/>
      <c r="H28" s="34"/>
      <c r="I28" s="44"/>
      <c r="J28" s="142"/>
      <c r="K28" s="34"/>
      <c r="L28" s="34"/>
      <c r="M28" s="44"/>
      <c r="N28" s="142"/>
      <c r="O28" s="34"/>
      <c r="P28" s="34"/>
      <c r="Q28" s="44"/>
    </row>
    <row r="29" spans="1:17">
      <c r="A29" s="40" t="s">
        <v>50</v>
      </c>
      <c r="B29" s="142">
        <f>'Sch AL-TOU TSM Summary'!B$29*Inputs!$C$13</f>
        <v>148.43568154947681</v>
      </c>
      <c r="C29" s="34">
        <f>'Sch AL-TOU TSM Summary'!C$29*Inputs!$C$13</f>
        <v>148.43568154947681</v>
      </c>
      <c r="D29" s="34"/>
      <c r="E29" s="34">
        <f>'Sch AL-TOU TSM Summary'!E$29*Inputs!$C$13</f>
        <v>148.43568154947681</v>
      </c>
      <c r="F29" s="142">
        <f>'Sch AL-TOU TSM Summary'!F$29*Inputs!$C$13</f>
        <v>51.373757086725199</v>
      </c>
      <c r="G29" s="34">
        <f>'Sch AL-TOU TSM Summary'!G$29*Inputs!$C$13</f>
        <v>51.373757086725199</v>
      </c>
      <c r="H29" s="34">
        <f>'Sch AL-TOU TSM Summary'!H$29*Inputs!$C$13</f>
        <v>51.373757086725199</v>
      </c>
      <c r="I29" s="44">
        <f>'Sch AL-TOU TSM Summary'!I$29*Inputs!$C$13</f>
        <v>51.373757086725199</v>
      </c>
      <c r="J29" s="142">
        <f>'Sch AL-TOU TSM Summary'!J$29*Inputs!$C$13</f>
        <v>961.74155661828036</v>
      </c>
      <c r="K29" s="34">
        <f>'Sch AL-TOU TSM Summary'!K$29*Inputs!$C$13</f>
        <v>961.74155661828036</v>
      </c>
      <c r="L29" s="34">
        <f>'Sch AL-TOU TSM Summary'!L$29*Inputs!$C$13</f>
        <v>961.74155661828036</v>
      </c>
      <c r="M29" s="44">
        <f>'Sch AL-TOU TSM Summary'!M$29*Inputs!$C$13</f>
        <v>961.74155661828036</v>
      </c>
      <c r="N29" s="142">
        <f>'Sch AL-TOU TSM Summary'!N$29*Inputs!$C$13</f>
        <v>147.361355515919</v>
      </c>
      <c r="O29" s="34">
        <f>'Sch AL-TOU TSM Summary'!O$29*Inputs!$C$13</f>
        <v>147.361355515919</v>
      </c>
      <c r="P29" s="34">
        <f>'Sch AL-TOU TSM Summary'!P$29*Inputs!$C$13</f>
        <v>147.361355515919</v>
      </c>
      <c r="Q29" s="44">
        <f>'Sch AL-TOU TSM Summary'!Q$29*Inputs!$C$13</f>
        <v>147.361355515919</v>
      </c>
    </row>
    <row r="30" spans="1:17" ht="15">
      <c r="A30" s="40" t="s">
        <v>453</v>
      </c>
      <c r="B30" s="730">
        <f>-Inputs!$C$18</f>
        <v>-3.0284021924274875</v>
      </c>
      <c r="C30" s="729">
        <f>-Inputs!$C$18</f>
        <v>-3.0284021924274875</v>
      </c>
      <c r="D30" s="729"/>
      <c r="E30" s="729">
        <f>-Inputs!$C$18</f>
        <v>-3.0284021924274875</v>
      </c>
      <c r="F30" s="730">
        <f>-Inputs!$C$18</f>
        <v>-3.0284021924274875</v>
      </c>
      <c r="G30" s="729">
        <f>-Inputs!$C$18</f>
        <v>-3.0284021924274875</v>
      </c>
      <c r="H30" s="729">
        <f>-Inputs!$C$18</f>
        <v>-3.0284021924274875</v>
      </c>
      <c r="I30" s="731">
        <f>-Inputs!$C$18</f>
        <v>-3.0284021924274875</v>
      </c>
      <c r="J30" s="730">
        <f>-Inputs!$C$18</f>
        <v>-3.0284021924274875</v>
      </c>
      <c r="K30" s="729">
        <f>-Inputs!$C$18</f>
        <v>-3.0284021924274875</v>
      </c>
      <c r="L30" s="729">
        <f>-Inputs!$C$18</f>
        <v>-3.0284021924274875</v>
      </c>
      <c r="M30" s="731">
        <f>-Inputs!$C$18</f>
        <v>-3.0284021924274875</v>
      </c>
      <c r="N30" s="730">
        <f>-Inputs!$C$18</f>
        <v>-3.0284021924274875</v>
      </c>
      <c r="O30" s="729">
        <f>-Inputs!$C$18</f>
        <v>-3.0284021924274875</v>
      </c>
      <c r="P30" s="729">
        <f>-Inputs!$C$18</f>
        <v>-3.0284021924274875</v>
      </c>
      <c r="Q30" s="731">
        <f>-Inputs!$C$18</f>
        <v>-3.0284021924274875</v>
      </c>
    </row>
    <row r="31" spans="1:17">
      <c r="A31" s="40" t="s">
        <v>451</v>
      </c>
      <c r="B31" s="142">
        <f>B29+B30</f>
        <v>145.40727935704933</v>
      </c>
      <c r="C31" s="34">
        <f>C29+C30</f>
        <v>145.40727935704933</v>
      </c>
      <c r="D31" s="34"/>
      <c r="E31" s="34">
        <f t="shared" ref="E31:Q31" si="12">E29+E30</f>
        <v>145.40727935704933</v>
      </c>
      <c r="F31" s="142">
        <f t="shared" si="12"/>
        <v>48.345354894297714</v>
      </c>
      <c r="G31" s="34">
        <f t="shared" si="12"/>
        <v>48.345354894297714</v>
      </c>
      <c r="H31" s="34">
        <f t="shared" si="12"/>
        <v>48.345354894297714</v>
      </c>
      <c r="I31" s="44">
        <f t="shared" si="12"/>
        <v>48.345354894297714</v>
      </c>
      <c r="J31" s="142">
        <f t="shared" si="12"/>
        <v>958.71315442585285</v>
      </c>
      <c r="K31" s="34">
        <f t="shared" si="12"/>
        <v>958.71315442585285</v>
      </c>
      <c r="L31" s="34">
        <f t="shared" si="12"/>
        <v>958.71315442585285</v>
      </c>
      <c r="M31" s="44">
        <f t="shared" si="12"/>
        <v>958.71315442585285</v>
      </c>
      <c r="N31" s="142">
        <f t="shared" si="12"/>
        <v>144.33295332349152</v>
      </c>
      <c r="O31" s="34">
        <f t="shared" si="12"/>
        <v>144.33295332349152</v>
      </c>
      <c r="P31" s="34">
        <f t="shared" si="12"/>
        <v>144.33295332349152</v>
      </c>
      <c r="Q31" s="44">
        <f t="shared" si="12"/>
        <v>144.33295332349152</v>
      </c>
    </row>
    <row r="32" spans="1:17">
      <c r="A32" s="146"/>
      <c r="B32" s="10"/>
      <c r="C32" s="31"/>
      <c r="D32" s="31"/>
      <c r="E32" s="31"/>
      <c r="F32" s="10"/>
      <c r="G32" s="31"/>
      <c r="H32" s="31"/>
      <c r="I32" s="107"/>
      <c r="J32" s="10"/>
      <c r="K32" s="31"/>
      <c r="L32" s="31"/>
      <c r="M32" s="107"/>
      <c r="N32" s="10"/>
      <c r="O32" s="31"/>
      <c r="P32" s="31"/>
      <c r="Q32" s="107"/>
    </row>
    <row r="33" spans="1:17">
      <c r="A33" s="145" t="s">
        <v>61</v>
      </c>
      <c r="B33" s="197">
        <f>'Sch AL-TOU TSM Summary'!B31*Inputs!$C$14</f>
        <v>481.55031066335573</v>
      </c>
      <c r="C33" s="198">
        <f>'Sch AL-TOU TSM Summary'!C31*Inputs!$C$14</f>
        <v>481.55031066335573</v>
      </c>
      <c r="D33" s="198"/>
      <c r="E33" s="198">
        <f>'Sch AL-TOU TSM Summary'!E31*Inputs!$C$14</f>
        <v>481.55031066335573</v>
      </c>
      <c r="F33" s="197">
        <f>'Sch AL-TOU TSM Summary'!F31*Inputs!$C$14</f>
        <v>481.55031066335573</v>
      </c>
      <c r="G33" s="198">
        <f>'Sch AL-TOU TSM Summary'!G31*Inputs!$C$14</f>
        <v>481.55031066335573</v>
      </c>
      <c r="H33" s="198">
        <f>'Sch AL-TOU TSM Summary'!H31*Inputs!$C$14</f>
        <v>481.55031066335573</v>
      </c>
      <c r="I33" s="382">
        <f>'Sch AL-TOU TSM Summary'!I31*Inputs!$C$14</f>
        <v>481.55031066335573</v>
      </c>
      <c r="J33" s="197">
        <f>'Sch AL-TOU TSM Summary'!J31*Inputs!$C$14</f>
        <v>481.55031066335573</v>
      </c>
      <c r="K33" s="198">
        <f>'Sch AL-TOU TSM Summary'!K31*Inputs!$C$14</f>
        <v>481.55031066335573</v>
      </c>
      <c r="L33" s="198">
        <f>'Sch AL-TOU TSM Summary'!L31*Inputs!$C$14</f>
        <v>481.55031066335573</v>
      </c>
      <c r="M33" s="382">
        <f>'Sch AL-TOU TSM Summary'!M31*Inputs!$C$14</f>
        <v>481.55031066335573</v>
      </c>
      <c r="N33" s="197">
        <f>'Sch AL-TOU TSM Summary'!N31*Inputs!$C$14</f>
        <v>481.55031066335573</v>
      </c>
      <c r="O33" s="198">
        <f>'Sch AL-TOU TSM Summary'!O31*Inputs!$C$14</f>
        <v>481.55031066335573</v>
      </c>
      <c r="P33" s="198">
        <f>'Sch AL-TOU TSM Summary'!P31*Inputs!$C$14</f>
        <v>481.55031066335573</v>
      </c>
      <c r="Q33" s="382">
        <f>'Sch AL-TOU TSM Summary'!Q31*Inputs!$C$14</f>
        <v>481.55031066335573</v>
      </c>
    </row>
    <row r="34" spans="1:17" ht="13.5" thickBot="1">
      <c r="A34" s="146"/>
      <c r="B34" s="142"/>
      <c r="C34" s="34"/>
      <c r="D34" s="34"/>
      <c r="E34" s="34"/>
      <c r="F34" s="144"/>
      <c r="G34" s="115"/>
      <c r="H34" s="115"/>
      <c r="I34" s="116"/>
      <c r="J34" s="144"/>
      <c r="K34" s="115"/>
      <c r="L34" s="115"/>
      <c r="M34" s="116"/>
      <c r="N34" s="144"/>
      <c r="O34" s="115"/>
      <c r="P34" s="115"/>
      <c r="Q34" s="116"/>
    </row>
    <row r="35" spans="1:17" ht="13.5" thickBot="1">
      <c r="A35" s="521" t="s">
        <v>165</v>
      </c>
      <c r="B35" s="371">
        <f t="shared" ref="B35:Q35" si="13">B27+B31+B33</f>
        <v>1805.6268802042207</v>
      </c>
      <c r="C35" s="372">
        <f t="shared" si="13"/>
        <v>4351.8217306869155</v>
      </c>
      <c r="D35" s="372"/>
      <c r="E35" s="383">
        <f t="shared" si="13"/>
        <v>1874.7979232537853</v>
      </c>
      <c r="F35" s="371">
        <f t="shared" si="13"/>
        <v>896.19387529355163</v>
      </c>
      <c r="G35" s="372">
        <f t="shared" si="13"/>
        <v>992.20967360355212</v>
      </c>
      <c r="H35" s="372">
        <f t="shared" si="13"/>
        <v>1270.6967950388771</v>
      </c>
      <c r="I35" s="383">
        <f t="shared" si="13"/>
        <v>951.01704495793706</v>
      </c>
      <c r="J35" s="371">
        <f t="shared" si="13"/>
        <v>6278.8861602631614</v>
      </c>
      <c r="K35" s="372">
        <f t="shared" si="13"/>
        <v>9780.1749309047937</v>
      </c>
      <c r="L35" s="372">
        <f t="shared" ref="L35" si="14">L27+L31+L33</f>
        <v>13281.463701546425</v>
      </c>
      <c r="M35" s="383">
        <f t="shared" si="13"/>
        <v>8613.0786740242511</v>
      </c>
      <c r="N35" s="371">
        <f t="shared" si="13"/>
        <v>1798.5583329864724</v>
      </c>
      <c r="O35" s="372">
        <f t="shared" si="13"/>
        <v>3510.2907704528152</v>
      </c>
      <c r="P35" s="372">
        <f t="shared" si="13"/>
        <v>4141.7841702120695</v>
      </c>
      <c r="Q35" s="383">
        <f t="shared" si="13"/>
        <v>1863.5603184411048</v>
      </c>
    </row>
    <row r="36" spans="1:17"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</row>
    <row r="38" spans="1:17">
      <c r="A38" t="s">
        <v>3</v>
      </c>
    </row>
    <row r="46" spans="1:17">
      <c r="A46" s="19"/>
    </row>
    <row r="58" spans="1:1">
      <c r="A58" s="19"/>
    </row>
  </sheetData>
  <mergeCells count="5">
    <mergeCell ref="A1:Q1"/>
    <mergeCell ref="B2:E2"/>
    <mergeCell ref="F2:I2"/>
    <mergeCell ref="J2:M2"/>
    <mergeCell ref="N2:Q2"/>
  </mergeCells>
  <printOptions horizontalCentered="1"/>
  <pageMargins left="0.75" right="0.75" top="1" bottom="1" header="0.5" footer="0.5"/>
  <pageSetup scale="55" orientation="portrait" r:id="rId1"/>
  <headerFooter alignWithMargins="0">
    <oddFooter>&amp;L&amp;F
&amp;A&amp;R&amp;P of &amp;N</oddFooter>
  </headerFooter>
  <colBreaks count="1" manualBreakCount="1">
    <brk id="9" max="29" man="1"/>
  </colBreaks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 codeName="Sheet43">
    <tabColor rgb="FFFFC000"/>
    <pageSetUpPr fitToPage="1"/>
  </sheetPr>
  <dimension ref="A1:H228"/>
  <sheetViews>
    <sheetView zoomScaleNormal="100" workbookViewId="0">
      <pane ySplit="3" topLeftCell="A4" activePane="bottomLeft" state="frozen"/>
      <selection activeCell="D15" sqref="D15"/>
      <selection pane="bottomLeft" activeCell="G26" sqref="G26"/>
    </sheetView>
  </sheetViews>
  <sheetFormatPr defaultRowHeight="12.75"/>
  <cols>
    <col min="1" max="1" width="25" bestFit="1" customWidth="1"/>
    <col min="2" max="2" width="16" bestFit="1" customWidth="1"/>
    <col min="3" max="3" width="15.42578125" bestFit="1" customWidth="1"/>
    <col min="4" max="5" width="10.7109375" customWidth="1"/>
    <col min="6" max="7" width="10.5703125" customWidth="1"/>
    <col min="8" max="8" width="12" customWidth="1"/>
    <col min="9" max="9" width="13.140625" customWidth="1"/>
  </cols>
  <sheetData>
    <row r="1" spans="1:8" ht="18.75" thickBot="1">
      <c r="A1" s="841" t="s">
        <v>191</v>
      </c>
      <c r="B1" s="841"/>
      <c r="C1" s="841"/>
      <c r="D1" s="841"/>
      <c r="E1" s="841"/>
      <c r="F1" s="841"/>
      <c r="G1" s="841"/>
      <c r="H1" s="841"/>
    </row>
    <row r="2" spans="1:8" ht="13.5" thickBot="1">
      <c r="A2" s="131"/>
      <c r="B2" s="827" t="s">
        <v>0</v>
      </c>
      <c r="C2" s="828"/>
      <c r="D2" s="828"/>
      <c r="E2" s="828"/>
      <c r="F2" s="829"/>
      <c r="G2" s="309"/>
      <c r="H2" s="131"/>
    </row>
    <row r="3" spans="1:8" ht="13.5" thickBot="1">
      <c r="A3" s="102" t="s">
        <v>4</v>
      </c>
      <c r="B3" s="98" t="s">
        <v>136</v>
      </c>
      <c r="C3" s="28" t="s">
        <v>114</v>
      </c>
      <c r="D3" s="28" t="s">
        <v>33</v>
      </c>
      <c r="E3" s="28" t="s">
        <v>34</v>
      </c>
      <c r="F3" s="313" t="s">
        <v>270</v>
      </c>
      <c r="G3" s="312" t="s">
        <v>1</v>
      </c>
      <c r="H3" s="102" t="s">
        <v>2</v>
      </c>
    </row>
    <row r="4" spans="1:8">
      <c r="A4" s="5"/>
      <c r="B4" s="5" t="s">
        <v>45</v>
      </c>
      <c r="C4" s="6" t="s">
        <v>45</v>
      </c>
      <c r="D4" s="6" t="s">
        <v>45</v>
      </c>
      <c r="E4" s="6" t="s">
        <v>45</v>
      </c>
      <c r="F4" s="7" t="s">
        <v>45</v>
      </c>
      <c r="G4" s="6" t="s">
        <v>45</v>
      </c>
      <c r="H4" s="133" t="s">
        <v>45</v>
      </c>
    </row>
    <row r="5" spans="1:8">
      <c r="A5" s="132"/>
      <c r="B5" s="132"/>
      <c r="C5" s="8"/>
      <c r="D5" s="8"/>
      <c r="E5" s="8"/>
      <c r="F5" s="9"/>
      <c r="G5" s="8"/>
      <c r="H5" s="134"/>
    </row>
    <row r="6" spans="1:8">
      <c r="A6" s="21" t="s">
        <v>5</v>
      </c>
      <c r="B6" s="602">
        <v>0</v>
      </c>
      <c r="C6" s="603">
        <v>0</v>
      </c>
      <c r="D6" s="603">
        <v>0</v>
      </c>
      <c r="E6" s="603">
        <v>0</v>
      </c>
      <c r="F6" s="252"/>
      <c r="G6" s="602">
        <v>0</v>
      </c>
      <c r="H6" s="291"/>
    </row>
    <row r="7" spans="1:8">
      <c r="A7" s="20" t="s">
        <v>6</v>
      </c>
      <c r="B7" s="602">
        <v>0</v>
      </c>
      <c r="C7" s="603">
        <v>0</v>
      </c>
      <c r="D7" s="603">
        <v>0</v>
      </c>
      <c r="E7" s="603">
        <v>0</v>
      </c>
      <c r="F7" s="252"/>
      <c r="G7" s="602">
        <v>0</v>
      </c>
      <c r="H7" s="291"/>
    </row>
    <row r="8" spans="1:8">
      <c r="A8" s="22" t="s">
        <v>7</v>
      </c>
      <c r="B8" s="602">
        <v>0</v>
      </c>
      <c r="C8" s="603">
        <v>0</v>
      </c>
      <c r="D8" s="603">
        <v>0</v>
      </c>
      <c r="E8" s="603">
        <v>0</v>
      </c>
      <c r="F8" s="252"/>
      <c r="G8" s="602">
        <v>0</v>
      </c>
      <c r="H8" s="291"/>
    </row>
    <row r="9" spans="1:8">
      <c r="A9" s="22" t="s">
        <v>124</v>
      </c>
      <c r="B9" s="602">
        <v>0</v>
      </c>
      <c r="C9" s="603">
        <v>0</v>
      </c>
      <c r="D9" s="603">
        <v>2</v>
      </c>
      <c r="E9" s="603">
        <v>0</v>
      </c>
      <c r="F9" s="252">
        <f t="shared" ref="F9:F26" si="0">SUM(B9:E9)</f>
        <v>2</v>
      </c>
      <c r="G9" s="602">
        <v>0</v>
      </c>
      <c r="H9" s="291">
        <f t="shared" ref="H9:H26" si="1">F9+G9</f>
        <v>2</v>
      </c>
    </row>
    <row r="10" spans="1:8">
      <c r="A10" s="22" t="s">
        <v>116</v>
      </c>
      <c r="B10" s="602">
        <v>1</v>
      </c>
      <c r="C10" s="603">
        <v>0</v>
      </c>
      <c r="D10" s="603">
        <v>3</v>
      </c>
      <c r="E10" s="603">
        <v>0</v>
      </c>
      <c r="F10" s="252">
        <f t="shared" si="0"/>
        <v>4</v>
      </c>
      <c r="G10" s="602">
        <v>0</v>
      </c>
      <c r="H10" s="291">
        <f t="shared" si="1"/>
        <v>4</v>
      </c>
    </row>
    <row r="11" spans="1:8">
      <c r="A11" s="22" t="s">
        <v>8</v>
      </c>
      <c r="B11" s="602">
        <v>4</v>
      </c>
      <c r="C11" s="603">
        <v>5</v>
      </c>
      <c r="D11" s="603">
        <v>52</v>
      </c>
      <c r="E11" s="603">
        <v>3</v>
      </c>
      <c r="F11" s="252">
        <f t="shared" si="0"/>
        <v>64</v>
      </c>
      <c r="G11" s="602">
        <v>0</v>
      </c>
      <c r="H11" s="291">
        <f t="shared" si="1"/>
        <v>64</v>
      </c>
    </row>
    <row r="12" spans="1:8">
      <c r="A12" s="22" t="s">
        <v>9</v>
      </c>
      <c r="B12" s="602"/>
      <c r="C12" s="603">
        <v>4</v>
      </c>
      <c r="D12" s="603">
        <v>39</v>
      </c>
      <c r="E12" s="603">
        <v>16</v>
      </c>
      <c r="F12" s="252">
        <f t="shared" si="0"/>
        <v>59</v>
      </c>
      <c r="G12" s="602">
        <v>0</v>
      </c>
      <c r="H12" s="291">
        <f t="shared" si="1"/>
        <v>59</v>
      </c>
    </row>
    <row r="13" spans="1:8">
      <c r="A13" s="22" t="s">
        <v>10</v>
      </c>
      <c r="B13" s="602"/>
      <c r="C13" s="603">
        <v>2</v>
      </c>
      <c r="D13" s="603">
        <v>20</v>
      </c>
      <c r="E13" s="603">
        <v>15</v>
      </c>
      <c r="F13" s="252">
        <f t="shared" si="0"/>
        <v>37</v>
      </c>
      <c r="G13" s="602">
        <v>0</v>
      </c>
      <c r="H13" s="291">
        <f t="shared" si="1"/>
        <v>37</v>
      </c>
    </row>
    <row r="14" spans="1:8">
      <c r="A14" s="22" t="s">
        <v>11</v>
      </c>
      <c r="B14" s="602"/>
      <c r="C14" s="603"/>
      <c r="D14" s="603">
        <v>11</v>
      </c>
      <c r="E14" s="603">
        <v>16</v>
      </c>
      <c r="F14" s="252">
        <f t="shared" si="0"/>
        <v>27</v>
      </c>
      <c r="G14" s="602">
        <v>0</v>
      </c>
      <c r="H14" s="291">
        <f t="shared" si="1"/>
        <v>27</v>
      </c>
    </row>
    <row r="15" spans="1:8">
      <c r="A15" s="22" t="s">
        <v>120</v>
      </c>
      <c r="B15" s="602"/>
      <c r="C15" s="603"/>
      <c r="D15" s="603">
        <v>1</v>
      </c>
      <c r="E15" s="603">
        <v>11</v>
      </c>
      <c r="F15" s="252">
        <f t="shared" si="0"/>
        <v>12</v>
      </c>
      <c r="G15" s="602">
        <v>1</v>
      </c>
      <c r="H15" s="291">
        <f t="shared" si="1"/>
        <v>13</v>
      </c>
    </row>
    <row r="16" spans="1:8">
      <c r="A16" s="22" t="s">
        <v>121</v>
      </c>
      <c r="B16" s="602"/>
      <c r="C16" s="603"/>
      <c r="D16" s="603">
        <v>3</v>
      </c>
      <c r="E16" s="603">
        <v>11</v>
      </c>
      <c r="F16" s="252">
        <f t="shared" si="0"/>
        <v>14</v>
      </c>
      <c r="G16" s="602">
        <v>0</v>
      </c>
      <c r="H16" s="291">
        <f t="shared" si="1"/>
        <v>14</v>
      </c>
    </row>
    <row r="17" spans="1:8">
      <c r="A17" s="22" t="s">
        <v>12</v>
      </c>
      <c r="B17" s="602"/>
      <c r="C17" s="603"/>
      <c r="D17" s="603"/>
      <c r="E17" s="603">
        <v>13</v>
      </c>
      <c r="F17" s="252">
        <f t="shared" si="0"/>
        <v>13</v>
      </c>
      <c r="G17" s="602">
        <v>0</v>
      </c>
      <c r="H17" s="291">
        <f t="shared" si="1"/>
        <v>13</v>
      </c>
    </row>
    <row r="18" spans="1:8">
      <c r="A18" s="22" t="s">
        <v>13</v>
      </c>
      <c r="B18" s="602"/>
      <c r="C18" s="603"/>
      <c r="D18" s="603"/>
      <c r="E18" s="603">
        <v>4</v>
      </c>
      <c r="F18" s="252">
        <f t="shared" si="0"/>
        <v>4</v>
      </c>
      <c r="G18" s="602">
        <v>1</v>
      </c>
      <c r="H18" s="291">
        <f t="shared" si="1"/>
        <v>5</v>
      </c>
    </row>
    <row r="19" spans="1:8">
      <c r="A19" s="22" t="s">
        <v>122</v>
      </c>
      <c r="B19" s="602"/>
      <c r="C19" s="603"/>
      <c r="D19" s="603"/>
      <c r="E19" s="603">
        <v>1</v>
      </c>
      <c r="F19" s="252">
        <f t="shared" si="0"/>
        <v>1</v>
      </c>
      <c r="G19" s="602">
        <v>0</v>
      </c>
      <c r="H19" s="291">
        <f t="shared" si="1"/>
        <v>1</v>
      </c>
    </row>
    <row r="20" spans="1:8" s="58" customFormat="1">
      <c r="A20" s="22" t="s">
        <v>123</v>
      </c>
      <c r="B20" s="602"/>
      <c r="C20" s="603"/>
      <c r="D20" s="603"/>
      <c r="E20" s="603">
        <v>1</v>
      </c>
      <c r="F20" s="252">
        <f t="shared" si="0"/>
        <v>1</v>
      </c>
      <c r="G20" s="602">
        <v>0</v>
      </c>
      <c r="H20" s="291">
        <f t="shared" si="1"/>
        <v>1</v>
      </c>
    </row>
    <row r="21" spans="1:8">
      <c r="A21" s="22" t="s">
        <v>14</v>
      </c>
      <c r="B21" s="602"/>
      <c r="C21" s="603"/>
      <c r="D21" s="603"/>
      <c r="E21" s="603">
        <v>2</v>
      </c>
      <c r="F21" s="252">
        <f t="shared" si="0"/>
        <v>2</v>
      </c>
      <c r="G21" s="602">
        <v>0</v>
      </c>
      <c r="H21" s="291">
        <f t="shared" si="1"/>
        <v>2</v>
      </c>
    </row>
    <row r="22" spans="1:8">
      <c r="A22" s="22" t="s">
        <v>15</v>
      </c>
      <c r="B22" s="602"/>
      <c r="C22" s="603"/>
      <c r="D22" s="603"/>
      <c r="E22" s="603">
        <v>4</v>
      </c>
      <c r="F22" s="252">
        <f t="shared" si="0"/>
        <v>4</v>
      </c>
      <c r="G22" s="602">
        <v>1</v>
      </c>
      <c r="H22" s="291">
        <f t="shared" si="1"/>
        <v>5</v>
      </c>
    </row>
    <row r="23" spans="1:8">
      <c r="A23" s="21" t="s">
        <v>16</v>
      </c>
      <c r="B23" s="602"/>
      <c r="C23" s="603"/>
      <c r="D23" s="603"/>
      <c r="E23" s="603">
        <v>0</v>
      </c>
      <c r="F23" s="252">
        <f t="shared" si="0"/>
        <v>0</v>
      </c>
      <c r="G23" s="602">
        <v>1</v>
      </c>
      <c r="H23" s="291">
        <f t="shared" si="1"/>
        <v>1</v>
      </c>
    </row>
    <row r="24" spans="1:8">
      <c r="A24" s="22" t="s">
        <v>17</v>
      </c>
      <c r="B24" s="602"/>
      <c r="C24" s="603"/>
      <c r="D24" s="603"/>
      <c r="E24" s="603">
        <v>1</v>
      </c>
      <c r="F24" s="252">
        <f t="shared" si="0"/>
        <v>1</v>
      </c>
      <c r="G24" s="602">
        <v>0</v>
      </c>
      <c r="H24" s="291">
        <f t="shared" si="1"/>
        <v>1</v>
      </c>
    </row>
    <row r="25" spans="1:8">
      <c r="A25" s="22" t="s">
        <v>18</v>
      </c>
      <c r="B25" s="602"/>
      <c r="C25" s="603"/>
      <c r="D25" s="603"/>
      <c r="E25" s="603">
        <v>0</v>
      </c>
      <c r="F25" s="252"/>
      <c r="G25" s="602">
        <v>0</v>
      </c>
      <c r="H25" s="291"/>
    </row>
    <row r="26" spans="1:8">
      <c r="A26" s="22" t="s">
        <v>19</v>
      </c>
      <c r="B26" s="602"/>
      <c r="C26" s="603"/>
      <c r="D26" s="603"/>
      <c r="E26" s="603">
        <v>1</v>
      </c>
      <c r="F26" s="252">
        <f t="shared" si="0"/>
        <v>1</v>
      </c>
      <c r="G26" s="602">
        <v>1</v>
      </c>
      <c r="H26" s="291">
        <f t="shared" si="1"/>
        <v>2</v>
      </c>
    </row>
    <row r="27" spans="1:8">
      <c r="A27" s="22" t="s">
        <v>20</v>
      </c>
      <c r="B27" s="602"/>
      <c r="C27" s="603"/>
      <c r="D27" s="603"/>
      <c r="E27" s="603"/>
      <c r="F27" s="252"/>
      <c r="G27" s="602"/>
      <c r="H27" s="291"/>
    </row>
    <row r="28" spans="1:8">
      <c r="A28" s="22" t="s">
        <v>21</v>
      </c>
      <c r="B28" s="250"/>
      <c r="C28" s="251"/>
      <c r="D28" s="251"/>
      <c r="E28" s="251"/>
      <c r="F28" s="252"/>
      <c r="G28" s="252"/>
      <c r="H28" s="291"/>
    </row>
    <row r="29" spans="1:8">
      <c r="A29" s="22" t="s">
        <v>22</v>
      </c>
      <c r="B29" s="250"/>
      <c r="C29" s="251"/>
      <c r="D29" s="251"/>
      <c r="E29" s="251"/>
      <c r="F29" s="281"/>
      <c r="G29" s="281"/>
      <c r="H29" s="253"/>
    </row>
    <row r="30" spans="1:8">
      <c r="A30" s="22" t="s">
        <v>23</v>
      </c>
      <c r="B30" s="250"/>
      <c r="C30" s="251"/>
      <c r="D30" s="251"/>
      <c r="E30" s="251"/>
      <c r="F30" s="281"/>
      <c r="G30" s="281"/>
      <c r="H30" s="253"/>
    </row>
    <row r="31" spans="1:8">
      <c r="A31" s="22" t="s">
        <v>24</v>
      </c>
      <c r="B31" s="250"/>
      <c r="C31" s="251"/>
      <c r="D31" s="251"/>
      <c r="E31" s="251"/>
      <c r="F31" s="281"/>
      <c r="G31" s="281"/>
      <c r="H31" s="253"/>
    </row>
    <row r="32" spans="1:8">
      <c r="A32" s="21" t="s">
        <v>25</v>
      </c>
      <c r="B32" s="250"/>
      <c r="C32" s="251"/>
      <c r="D32" s="251"/>
      <c r="E32" s="251"/>
      <c r="F32" s="281"/>
      <c r="G32" s="281"/>
      <c r="H32" s="253"/>
    </row>
    <row r="33" spans="1:8">
      <c r="A33" s="21" t="s">
        <v>125</v>
      </c>
      <c r="B33" s="250"/>
      <c r="C33" s="251"/>
      <c r="D33" s="251"/>
      <c r="E33" s="251"/>
      <c r="F33" s="281"/>
      <c r="G33" s="281"/>
      <c r="H33" s="253"/>
    </row>
    <row r="34" spans="1:8">
      <c r="A34" s="21" t="s">
        <v>126</v>
      </c>
      <c r="B34" s="250"/>
      <c r="C34" s="251"/>
      <c r="D34" s="251"/>
      <c r="E34" s="251"/>
      <c r="F34" s="281"/>
      <c r="G34" s="281"/>
      <c r="H34" s="253"/>
    </row>
    <row r="35" spans="1:8">
      <c r="A35" s="21" t="s">
        <v>26</v>
      </c>
      <c r="B35" s="250"/>
      <c r="C35" s="251"/>
      <c r="D35" s="251"/>
      <c r="E35" s="251"/>
      <c r="F35" s="281"/>
      <c r="G35" s="281"/>
      <c r="H35" s="253"/>
    </row>
    <row r="36" spans="1:8">
      <c r="A36" s="21" t="s">
        <v>27</v>
      </c>
      <c r="B36" s="250"/>
      <c r="C36" s="251"/>
      <c r="D36" s="251"/>
      <c r="E36" s="251"/>
      <c r="F36" s="281"/>
      <c r="G36" s="281"/>
      <c r="H36" s="253"/>
    </row>
    <row r="37" spans="1:8" ht="13.5" thickBot="1">
      <c r="A37" s="21"/>
      <c r="B37" s="277"/>
      <c r="C37" s="278"/>
      <c r="D37" s="278"/>
      <c r="E37" s="278"/>
      <c r="F37" s="282"/>
      <c r="G37" s="282"/>
      <c r="H37" s="306"/>
    </row>
    <row r="38" spans="1:8" ht="13.5" thickBot="1">
      <c r="A38" s="245" t="s">
        <v>2</v>
      </c>
      <c r="B38" s="489">
        <f t="shared" ref="B38:H38" si="2">SUM(B6:B37)</f>
        <v>5</v>
      </c>
      <c r="C38" s="489">
        <f t="shared" si="2"/>
        <v>11</v>
      </c>
      <c r="D38" s="489">
        <f t="shared" si="2"/>
        <v>131</v>
      </c>
      <c r="E38" s="489">
        <f t="shared" si="2"/>
        <v>99</v>
      </c>
      <c r="F38" s="499">
        <f t="shared" si="2"/>
        <v>246</v>
      </c>
      <c r="G38" s="499">
        <f t="shared" si="2"/>
        <v>5</v>
      </c>
      <c r="H38" s="488">
        <f t="shared" si="2"/>
        <v>251</v>
      </c>
    </row>
    <row r="39" spans="1:8">
      <c r="A39" s="153" t="s">
        <v>185</v>
      </c>
      <c r="B39" s="491">
        <f t="shared" ref="B39:H39" si="3">SUM(B6:B19)</f>
        <v>5</v>
      </c>
      <c r="C39" s="491">
        <f t="shared" si="3"/>
        <v>11</v>
      </c>
      <c r="D39" s="491">
        <f t="shared" si="3"/>
        <v>131</v>
      </c>
      <c r="E39" s="491">
        <f t="shared" si="3"/>
        <v>90</v>
      </c>
      <c r="F39" s="491">
        <f t="shared" si="3"/>
        <v>237</v>
      </c>
      <c r="G39" s="493">
        <f t="shared" si="3"/>
        <v>2</v>
      </c>
      <c r="H39" s="493">
        <f t="shared" si="3"/>
        <v>239</v>
      </c>
    </row>
    <row r="40" spans="1:8">
      <c r="A40" s="153" t="s">
        <v>139</v>
      </c>
      <c r="B40" s="491">
        <f t="shared" ref="B40:H40" si="4">SUM(B20:B33)</f>
        <v>0</v>
      </c>
      <c r="C40" s="491">
        <f t="shared" si="4"/>
        <v>0</v>
      </c>
      <c r="D40" s="491">
        <f t="shared" si="4"/>
        <v>0</v>
      </c>
      <c r="E40" s="491">
        <f t="shared" si="4"/>
        <v>9</v>
      </c>
      <c r="F40" s="491">
        <f t="shared" si="4"/>
        <v>9</v>
      </c>
      <c r="G40" s="493">
        <f t="shared" si="4"/>
        <v>3</v>
      </c>
      <c r="H40" s="493">
        <f t="shared" si="4"/>
        <v>12</v>
      </c>
    </row>
    <row r="41" spans="1:8" ht="13.5" thickBot="1">
      <c r="A41" s="243" t="s">
        <v>100</v>
      </c>
      <c r="B41" s="495">
        <f t="shared" ref="B41:H41" si="5">SUM(B34:B36)</f>
        <v>0</v>
      </c>
      <c r="C41" s="495">
        <f t="shared" si="5"/>
        <v>0</v>
      </c>
      <c r="D41" s="495">
        <f t="shared" si="5"/>
        <v>0</v>
      </c>
      <c r="E41" s="495">
        <f t="shared" si="5"/>
        <v>0</v>
      </c>
      <c r="F41" s="495">
        <f t="shared" si="5"/>
        <v>0</v>
      </c>
      <c r="G41" s="497">
        <f t="shared" si="5"/>
        <v>0</v>
      </c>
      <c r="H41" s="497">
        <f t="shared" si="5"/>
        <v>0</v>
      </c>
    </row>
    <row r="42" spans="1:8">
      <c r="A42" s="149"/>
      <c r="B42" s="320"/>
      <c r="C42" s="320"/>
      <c r="D42" s="320"/>
      <c r="E42" s="320"/>
      <c r="F42" s="320"/>
      <c r="G42" s="320"/>
      <c r="H42" s="575"/>
    </row>
    <row r="43" spans="1:8">
      <c r="A43" s="33" t="s">
        <v>376</v>
      </c>
      <c r="B43" s="12"/>
      <c r="C43" s="12"/>
      <c r="D43" s="12"/>
      <c r="E43" s="12"/>
      <c r="F43" s="12"/>
      <c r="G43" s="12"/>
      <c r="H43" s="101"/>
    </row>
    <row r="44" spans="1:8">
      <c r="A44" s="33"/>
      <c r="B44" s="576" t="s">
        <v>480</v>
      </c>
      <c r="C44" s="12"/>
      <c r="D44" s="12"/>
      <c r="E44" s="12"/>
      <c r="F44" s="12"/>
      <c r="G44" s="12"/>
      <c r="H44" s="101"/>
    </row>
    <row r="45" spans="1:8" ht="13.5" thickBot="1">
      <c r="A45" s="94"/>
      <c r="B45" s="597" t="s">
        <v>375</v>
      </c>
      <c r="C45" s="32"/>
      <c r="D45" s="32"/>
      <c r="E45" s="32"/>
      <c r="F45" s="32"/>
      <c r="G45" s="32"/>
      <c r="H45" s="106"/>
    </row>
    <row r="46" spans="1:8">
      <c r="A46" s="148"/>
    </row>
    <row r="47" spans="1:8">
      <c r="A47" s="340" t="s">
        <v>102</v>
      </c>
      <c r="B47" s="18">
        <f>SUM(B39:B41)-B38</f>
        <v>0</v>
      </c>
      <c r="C47" s="18">
        <f t="shared" ref="C47:H47" si="6">SUM(C39:C41)-C38</f>
        <v>0</v>
      </c>
      <c r="D47" s="18">
        <f t="shared" si="6"/>
        <v>0</v>
      </c>
      <c r="E47" s="18">
        <f t="shared" si="6"/>
        <v>0</v>
      </c>
      <c r="F47" s="18">
        <f t="shared" si="6"/>
        <v>0</v>
      </c>
      <c r="G47" s="18">
        <f t="shared" si="6"/>
        <v>0</v>
      </c>
      <c r="H47" s="18">
        <f t="shared" si="6"/>
        <v>0</v>
      </c>
    </row>
    <row r="48" spans="1:8">
      <c r="A48" s="21"/>
    </row>
    <row r="49" spans="1:1">
      <c r="A49" s="21"/>
    </row>
    <row r="50" spans="1:1">
      <c r="A50" s="21"/>
    </row>
    <row r="51" spans="1:1">
      <c r="A51" s="21"/>
    </row>
    <row r="52" spans="1:1">
      <c r="A52" s="21"/>
    </row>
    <row r="53" spans="1:1">
      <c r="A53" s="21"/>
    </row>
    <row r="54" spans="1:1">
      <c r="A54" s="21"/>
    </row>
    <row r="55" spans="1:1">
      <c r="A55" s="21"/>
    </row>
    <row r="56" spans="1:1">
      <c r="A56" s="21"/>
    </row>
    <row r="57" spans="1:1">
      <c r="A57" s="21"/>
    </row>
    <row r="58" spans="1:1">
      <c r="A58" s="21"/>
    </row>
    <row r="59" spans="1:1">
      <c r="A59" s="21"/>
    </row>
    <row r="60" spans="1:1">
      <c r="A60" s="21"/>
    </row>
    <row r="61" spans="1:1">
      <c r="A61" s="21"/>
    </row>
    <row r="62" spans="1:1">
      <c r="A62" s="21"/>
    </row>
    <row r="63" spans="1:1">
      <c r="A63" s="21"/>
    </row>
    <row r="64" spans="1:1">
      <c r="A64" s="21"/>
    </row>
    <row r="65" spans="1:1">
      <c r="A65" s="21"/>
    </row>
    <row r="66" spans="1:1">
      <c r="A66" s="21"/>
    </row>
    <row r="67" spans="1:1">
      <c r="A67" s="21"/>
    </row>
    <row r="68" spans="1:1">
      <c r="A68" s="21"/>
    </row>
    <row r="69" spans="1:1">
      <c r="A69" s="21"/>
    </row>
    <row r="70" spans="1:1">
      <c r="A70" s="21"/>
    </row>
    <row r="71" spans="1:1">
      <c r="A71" s="21"/>
    </row>
    <row r="72" spans="1:1">
      <c r="A72" s="21"/>
    </row>
    <row r="73" spans="1:1">
      <c r="A73" s="21"/>
    </row>
    <row r="74" spans="1:1">
      <c r="A74" s="21"/>
    </row>
    <row r="75" spans="1:1">
      <c r="A75" s="21"/>
    </row>
    <row r="76" spans="1:1">
      <c r="A76" s="21"/>
    </row>
    <row r="77" spans="1:1">
      <c r="A77" s="21"/>
    </row>
    <row r="78" spans="1:1">
      <c r="A78" s="21"/>
    </row>
    <row r="79" spans="1:1">
      <c r="A79" s="21"/>
    </row>
    <row r="80" spans="1:1">
      <c r="A80" s="21"/>
    </row>
    <row r="81" spans="1:1">
      <c r="A81" s="21"/>
    </row>
    <row r="82" spans="1:1">
      <c r="A82" s="21"/>
    </row>
    <row r="83" spans="1:1">
      <c r="A83" s="21"/>
    </row>
    <row r="84" spans="1:1">
      <c r="A84" s="21"/>
    </row>
    <row r="85" spans="1:1">
      <c r="A85" s="21"/>
    </row>
    <row r="86" spans="1:1">
      <c r="A86" s="21"/>
    </row>
    <row r="87" spans="1:1">
      <c r="A87" s="21"/>
    </row>
    <row r="88" spans="1:1">
      <c r="A88" s="21"/>
    </row>
    <row r="89" spans="1:1">
      <c r="A89" s="21"/>
    </row>
    <row r="90" spans="1:1">
      <c r="A90" s="21"/>
    </row>
    <row r="91" spans="1:1">
      <c r="A91" s="21"/>
    </row>
    <row r="92" spans="1:1">
      <c r="A92" s="21"/>
    </row>
    <row r="93" spans="1:1">
      <c r="A93" s="21"/>
    </row>
    <row r="94" spans="1:1">
      <c r="A94" s="21"/>
    </row>
    <row r="95" spans="1:1">
      <c r="A95" s="21"/>
    </row>
    <row r="96" spans="1:1">
      <c r="A96" s="21"/>
    </row>
    <row r="97" spans="1:1">
      <c r="A97" s="21"/>
    </row>
    <row r="98" spans="1:1">
      <c r="A98" s="21"/>
    </row>
    <row r="99" spans="1:1">
      <c r="A99" s="21"/>
    </row>
    <row r="100" spans="1:1">
      <c r="A100" s="21"/>
    </row>
    <row r="101" spans="1:1">
      <c r="A101" s="21"/>
    </row>
    <row r="102" spans="1:1">
      <c r="A102" s="21"/>
    </row>
    <row r="103" spans="1:1">
      <c r="A103" s="21"/>
    </row>
    <row r="104" spans="1:1">
      <c r="A104" s="21"/>
    </row>
    <row r="105" spans="1:1">
      <c r="A105" s="21"/>
    </row>
    <row r="106" spans="1:1">
      <c r="A106" s="21"/>
    </row>
    <row r="107" spans="1:1">
      <c r="A107" s="21"/>
    </row>
    <row r="108" spans="1:1">
      <c r="A108" s="21"/>
    </row>
    <row r="109" spans="1:1">
      <c r="A109" s="21"/>
    </row>
    <row r="110" spans="1:1">
      <c r="A110" s="21"/>
    </row>
    <row r="111" spans="1:1">
      <c r="A111" s="21"/>
    </row>
    <row r="112" spans="1:1">
      <c r="A112" s="21"/>
    </row>
    <row r="113" spans="1:1">
      <c r="A113" s="21"/>
    </row>
    <row r="114" spans="1:1">
      <c r="A114" s="21"/>
    </row>
    <row r="115" spans="1:1">
      <c r="A115" s="21"/>
    </row>
    <row r="116" spans="1:1">
      <c r="A116" s="21"/>
    </row>
    <row r="117" spans="1:1">
      <c r="A117" s="21"/>
    </row>
    <row r="118" spans="1:1">
      <c r="A118" s="21"/>
    </row>
    <row r="119" spans="1:1">
      <c r="A119" s="21"/>
    </row>
    <row r="120" spans="1:1">
      <c r="A120" s="21"/>
    </row>
    <row r="121" spans="1:1">
      <c r="A121" s="21"/>
    </row>
    <row r="122" spans="1:1">
      <c r="A122" s="21"/>
    </row>
    <row r="123" spans="1:1">
      <c r="A123" s="21"/>
    </row>
    <row r="124" spans="1:1">
      <c r="A124" s="21"/>
    </row>
    <row r="125" spans="1:1">
      <c r="A125" s="21"/>
    </row>
    <row r="126" spans="1:1">
      <c r="A126" s="21"/>
    </row>
    <row r="127" spans="1:1">
      <c r="A127" s="21"/>
    </row>
    <row r="128" spans="1:1">
      <c r="A128" s="21"/>
    </row>
    <row r="129" spans="1:1">
      <c r="A129" s="21"/>
    </row>
    <row r="130" spans="1:1">
      <c r="A130" s="21"/>
    </row>
    <row r="131" spans="1:1">
      <c r="A131" s="21"/>
    </row>
    <row r="132" spans="1:1">
      <c r="A132" s="21"/>
    </row>
    <row r="133" spans="1:1">
      <c r="A133" s="21"/>
    </row>
    <row r="134" spans="1:1">
      <c r="A134" s="21"/>
    </row>
    <row r="135" spans="1:1">
      <c r="A135" s="21"/>
    </row>
    <row r="136" spans="1:1">
      <c r="A136" s="21"/>
    </row>
    <row r="137" spans="1:1">
      <c r="A137" s="21"/>
    </row>
    <row r="138" spans="1:1">
      <c r="A138" s="21"/>
    </row>
    <row r="139" spans="1:1">
      <c r="A139" s="21"/>
    </row>
    <row r="140" spans="1:1">
      <c r="A140" s="21"/>
    </row>
    <row r="141" spans="1:1">
      <c r="A141" s="21"/>
    </row>
    <row r="142" spans="1:1">
      <c r="A142" s="21"/>
    </row>
    <row r="143" spans="1:1">
      <c r="A143" s="21"/>
    </row>
    <row r="144" spans="1:1">
      <c r="A144" s="21"/>
    </row>
    <row r="145" spans="1:1">
      <c r="A145" s="21"/>
    </row>
    <row r="146" spans="1:1">
      <c r="A146" s="21"/>
    </row>
    <row r="147" spans="1:1">
      <c r="A147" s="21"/>
    </row>
    <row r="148" spans="1:1">
      <c r="A148" s="21"/>
    </row>
    <row r="149" spans="1:1">
      <c r="A149" s="21"/>
    </row>
    <row r="150" spans="1:1">
      <c r="A150" s="21"/>
    </row>
    <row r="151" spans="1:1">
      <c r="A151" s="21"/>
    </row>
    <row r="152" spans="1:1">
      <c r="A152" s="21"/>
    </row>
    <row r="153" spans="1:1">
      <c r="A153" s="21"/>
    </row>
    <row r="154" spans="1:1">
      <c r="A154" s="21"/>
    </row>
    <row r="155" spans="1:1">
      <c r="A155" s="21"/>
    </row>
    <row r="156" spans="1:1">
      <c r="A156" s="21"/>
    </row>
    <row r="157" spans="1:1">
      <c r="A157" s="21"/>
    </row>
    <row r="158" spans="1:1">
      <c r="A158" s="21"/>
    </row>
    <row r="159" spans="1:1">
      <c r="A159" s="21"/>
    </row>
    <row r="160" spans="1:1">
      <c r="A160" s="21"/>
    </row>
    <row r="161" spans="1:1">
      <c r="A161" s="21"/>
    </row>
    <row r="162" spans="1:1">
      <c r="A162" s="21"/>
    </row>
    <row r="163" spans="1:1">
      <c r="A163" s="21"/>
    </row>
    <row r="164" spans="1:1">
      <c r="A164" s="21"/>
    </row>
    <row r="165" spans="1:1">
      <c r="A165" s="21"/>
    </row>
    <row r="166" spans="1:1">
      <c r="A166" s="21"/>
    </row>
    <row r="167" spans="1:1">
      <c r="A167" s="21"/>
    </row>
    <row r="168" spans="1:1">
      <c r="A168" s="21"/>
    </row>
    <row r="169" spans="1:1">
      <c r="A169" s="21"/>
    </row>
    <row r="170" spans="1:1">
      <c r="A170" s="21"/>
    </row>
    <row r="171" spans="1:1">
      <c r="A171" s="21"/>
    </row>
    <row r="172" spans="1:1">
      <c r="A172" s="21"/>
    </row>
    <row r="173" spans="1:1">
      <c r="A173" s="21"/>
    </row>
    <row r="174" spans="1:1">
      <c r="A174" s="21"/>
    </row>
    <row r="175" spans="1:1">
      <c r="A175" s="21"/>
    </row>
    <row r="176" spans="1:1">
      <c r="A176" s="21"/>
    </row>
    <row r="177" spans="1:1">
      <c r="A177" s="21"/>
    </row>
    <row r="178" spans="1:1">
      <c r="A178" s="21"/>
    </row>
    <row r="179" spans="1:1">
      <c r="A179" s="21"/>
    </row>
    <row r="180" spans="1:1">
      <c r="A180" s="21"/>
    </row>
    <row r="181" spans="1:1">
      <c r="A181" s="21"/>
    </row>
    <row r="182" spans="1:1">
      <c r="A182" s="21"/>
    </row>
    <row r="183" spans="1:1">
      <c r="A183" s="21"/>
    </row>
    <row r="184" spans="1:1">
      <c r="A184" s="21"/>
    </row>
    <row r="185" spans="1:1">
      <c r="A185" s="21"/>
    </row>
    <row r="186" spans="1:1">
      <c r="A186" s="21"/>
    </row>
    <row r="187" spans="1:1">
      <c r="A187" s="21"/>
    </row>
    <row r="188" spans="1:1">
      <c r="A188" s="21"/>
    </row>
    <row r="189" spans="1:1">
      <c r="A189" s="21"/>
    </row>
    <row r="190" spans="1:1">
      <c r="A190" s="21"/>
    </row>
    <row r="191" spans="1:1">
      <c r="A191" s="21"/>
    </row>
    <row r="192" spans="1:1">
      <c r="A192" s="21"/>
    </row>
    <row r="193" spans="1:1">
      <c r="A193" s="21"/>
    </row>
    <row r="194" spans="1:1">
      <c r="A194" s="21"/>
    </row>
    <row r="195" spans="1:1">
      <c r="A195" s="21"/>
    </row>
    <row r="196" spans="1:1">
      <c r="A196" s="21"/>
    </row>
    <row r="197" spans="1:1">
      <c r="A197" s="21"/>
    </row>
    <row r="198" spans="1:1">
      <c r="A198" s="21"/>
    </row>
    <row r="199" spans="1:1">
      <c r="A199" s="21"/>
    </row>
    <row r="200" spans="1:1">
      <c r="A200" s="21"/>
    </row>
    <row r="201" spans="1:1">
      <c r="A201" s="21"/>
    </row>
    <row r="202" spans="1:1">
      <c r="A202" s="21"/>
    </row>
    <row r="203" spans="1:1">
      <c r="A203" s="21"/>
    </row>
    <row r="204" spans="1:1">
      <c r="A204" s="21"/>
    </row>
    <row r="205" spans="1:1">
      <c r="A205" s="21"/>
    </row>
    <row r="206" spans="1:1">
      <c r="A206" s="21"/>
    </row>
    <row r="207" spans="1:1">
      <c r="A207" s="21"/>
    </row>
    <row r="208" spans="1:1">
      <c r="A208" s="21"/>
    </row>
    <row r="209" spans="1:1">
      <c r="A209" s="21"/>
    </row>
    <row r="210" spans="1:1">
      <c r="A210" s="21"/>
    </row>
    <row r="211" spans="1:1">
      <c r="A211" s="21"/>
    </row>
    <row r="212" spans="1:1">
      <c r="A212" s="21"/>
    </row>
    <row r="213" spans="1:1">
      <c r="A213" s="21"/>
    </row>
    <row r="214" spans="1:1">
      <c r="A214" s="21"/>
    </row>
    <row r="215" spans="1:1">
      <c r="A215" s="21"/>
    </row>
    <row r="216" spans="1:1">
      <c r="A216" s="21"/>
    </row>
    <row r="217" spans="1:1">
      <c r="A217" s="21"/>
    </row>
    <row r="218" spans="1:1">
      <c r="A218" s="21"/>
    </row>
    <row r="219" spans="1:1">
      <c r="A219" s="21"/>
    </row>
    <row r="220" spans="1:1">
      <c r="A220" s="21"/>
    </row>
    <row r="221" spans="1:1">
      <c r="A221" s="21"/>
    </row>
    <row r="222" spans="1:1">
      <c r="A222" s="21"/>
    </row>
    <row r="223" spans="1:1">
      <c r="A223" s="21"/>
    </row>
    <row r="224" spans="1:1">
      <c r="A224" s="21"/>
    </row>
    <row r="225" spans="1:1">
      <c r="A225" s="21"/>
    </row>
    <row r="226" spans="1:1">
      <c r="A226" s="21"/>
    </row>
    <row r="227" spans="1:1">
      <c r="A227" s="21"/>
    </row>
    <row r="228" spans="1:1">
      <c r="A228" s="21"/>
    </row>
  </sheetData>
  <mergeCells count="2">
    <mergeCell ref="A1:H1"/>
    <mergeCell ref="B2:F2"/>
  </mergeCells>
  <phoneticPr fontId="0" type="noConversion"/>
  <printOptions horizontalCentered="1"/>
  <pageMargins left="0.75" right="0.75" top="1" bottom="1" header="0.5" footer="0.5"/>
  <pageSetup scale="82" orientation="portrait" r:id="rId1"/>
  <headerFooter alignWithMargins="0">
    <oddFooter>&amp;L&amp;F
&amp;A&amp;R&amp;P of &amp;N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sheetPr codeName="Sheet44">
    <tabColor rgb="FFFFC000"/>
  </sheetPr>
  <dimension ref="A1:AC60"/>
  <sheetViews>
    <sheetView zoomScaleNormal="100" workbookViewId="0">
      <selection activeCell="T17" sqref="T17"/>
    </sheetView>
  </sheetViews>
  <sheetFormatPr defaultRowHeight="12.75"/>
  <cols>
    <col min="1" max="1" width="32.7109375" customWidth="1"/>
    <col min="2" max="2" width="12.5703125" bestFit="1" customWidth="1"/>
    <col min="3" max="5" width="11.5703125" customWidth="1"/>
    <col min="6" max="6" width="12.85546875" bestFit="1" customWidth="1"/>
    <col min="7" max="8" width="11.5703125" customWidth="1"/>
    <col min="9" max="9" width="11.42578125" customWidth="1"/>
    <col min="10" max="10" width="12.85546875" bestFit="1" customWidth="1"/>
    <col min="11" max="12" width="10.140625" customWidth="1"/>
    <col min="13" max="13" width="11.7109375" customWidth="1"/>
    <col min="14" max="14" width="12.85546875" bestFit="1" customWidth="1"/>
    <col min="15" max="16" width="11.28515625" bestFit="1" customWidth="1"/>
    <col min="17" max="21" width="12.5703125" customWidth="1"/>
    <col min="22" max="22" width="12.85546875" bestFit="1" customWidth="1"/>
    <col min="23" max="24" width="11.42578125" customWidth="1"/>
    <col min="25" max="25" width="13" customWidth="1"/>
    <col min="26" max="26" width="12.85546875" bestFit="1" customWidth="1"/>
    <col min="27" max="28" width="11.28515625" bestFit="1" customWidth="1"/>
    <col min="29" max="29" width="10.28515625" bestFit="1" customWidth="1"/>
  </cols>
  <sheetData>
    <row r="1" spans="1:29" ht="18.75" thickBot="1">
      <c r="A1" s="841" t="s">
        <v>192</v>
      </c>
      <c r="B1" s="841"/>
      <c r="C1" s="841"/>
      <c r="D1" s="841"/>
      <c r="E1" s="841"/>
      <c r="F1" s="841"/>
      <c r="G1" s="841"/>
      <c r="H1" s="841"/>
      <c r="I1" s="841"/>
      <c r="J1" s="841"/>
      <c r="K1" s="841"/>
      <c r="L1" s="841"/>
      <c r="M1" s="841"/>
      <c r="N1" s="841"/>
      <c r="O1" s="841"/>
      <c r="P1" s="841"/>
      <c r="Q1" s="841"/>
      <c r="R1" s="841"/>
      <c r="S1" s="841"/>
      <c r="T1" s="841"/>
      <c r="U1" s="841"/>
      <c r="V1" s="841"/>
      <c r="W1" s="841"/>
      <c r="X1" s="841"/>
      <c r="Y1" s="841"/>
    </row>
    <row r="2" spans="1:29" ht="13.5" thickBot="1">
      <c r="A2" s="308"/>
      <c r="B2" s="763"/>
      <c r="C2" s="761"/>
      <c r="D2" s="761"/>
      <c r="E2" s="762"/>
      <c r="F2" s="834" t="s">
        <v>132</v>
      </c>
      <c r="G2" s="835"/>
      <c r="H2" s="835"/>
      <c r="I2" s="835"/>
      <c r="J2" s="835"/>
      <c r="K2" s="835"/>
      <c r="L2" s="835"/>
      <c r="M2" s="835"/>
      <c r="N2" s="835"/>
      <c r="O2" s="835"/>
      <c r="P2" s="835"/>
      <c r="Q2" s="835"/>
      <c r="R2" s="835"/>
      <c r="S2" s="835"/>
      <c r="T2" s="835"/>
      <c r="U2" s="837"/>
      <c r="V2" s="834" t="s">
        <v>133</v>
      </c>
      <c r="W2" s="835"/>
      <c r="X2" s="835"/>
      <c r="Y2" s="837"/>
      <c r="Z2" s="834" t="s">
        <v>260</v>
      </c>
      <c r="AA2" s="835"/>
      <c r="AB2" s="835"/>
      <c r="AC2" s="837"/>
    </row>
    <row r="3" spans="1:29">
      <c r="A3" s="68"/>
      <c r="B3" s="842" t="s">
        <v>127</v>
      </c>
      <c r="C3" s="843"/>
      <c r="D3" s="843"/>
      <c r="E3" s="844"/>
      <c r="F3" s="842" t="s">
        <v>114</v>
      </c>
      <c r="G3" s="843"/>
      <c r="H3" s="843"/>
      <c r="I3" s="844"/>
      <c r="J3" s="843" t="s">
        <v>33</v>
      </c>
      <c r="K3" s="843"/>
      <c r="L3" s="843"/>
      <c r="M3" s="844"/>
      <c r="N3" s="836" t="s">
        <v>34</v>
      </c>
      <c r="O3" s="843"/>
      <c r="P3" s="843"/>
      <c r="Q3" s="844"/>
      <c r="R3" s="836" t="s">
        <v>138</v>
      </c>
      <c r="S3" s="843"/>
      <c r="T3" s="843"/>
      <c r="U3" s="844"/>
      <c r="V3" s="847"/>
      <c r="W3" s="847"/>
      <c r="X3" s="847"/>
      <c r="Y3" s="848"/>
      <c r="Z3" s="846"/>
      <c r="AA3" s="847"/>
      <c r="AB3" s="847"/>
      <c r="AC3" s="848"/>
    </row>
    <row r="4" spans="1:29" ht="13.5" thickBot="1">
      <c r="A4" s="311" t="s">
        <v>4</v>
      </c>
      <c r="B4" s="764" t="s">
        <v>36</v>
      </c>
      <c r="C4" s="765" t="s">
        <v>37</v>
      </c>
      <c r="D4" s="765" t="s">
        <v>38</v>
      </c>
      <c r="E4" s="766" t="s">
        <v>41</v>
      </c>
      <c r="F4" s="311" t="s">
        <v>36</v>
      </c>
      <c r="G4" s="312" t="s">
        <v>37</v>
      </c>
      <c r="H4" s="312" t="s">
        <v>38</v>
      </c>
      <c r="I4" s="313" t="s">
        <v>41</v>
      </c>
      <c r="J4" s="312" t="s">
        <v>36</v>
      </c>
      <c r="K4" s="312" t="s">
        <v>37</v>
      </c>
      <c r="L4" s="312" t="s">
        <v>38</v>
      </c>
      <c r="M4" s="313" t="s">
        <v>41</v>
      </c>
      <c r="N4" s="311" t="s">
        <v>36</v>
      </c>
      <c r="O4" s="312" t="s">
        <v>37</v>
      </c>
      <c r="P4" s="312" t="s">
        <v>38</v>
      </c>
      <c r="Q4" s="313" t="s">
        <v>41</v>
      </c>
      <c r="R4" s="311" t="s">
        <v>36</v>
      </c>
      <c r="S4" s="312" t="s">
        <v>37</v>
      </c>
      <c r="T4" s="312" t="s">
        <v>38</v>
      </c>
      <c r="U4" s="313" t="s">
        <v>41</v>
      </c>
      <c r="V4" s="312" t="s">
        <v>36</v>
      </c>
      <c r="W4" s="312" t="s">
        <v>37</v>
      </c>
      <c r="X4" s="312" t="s">
        <v>38</v>
      </c>
      <c r="Y4" s="313" t="s">
        <v>41</v>
      </c>
      <c r="Z4" s="311" t="s">
        <v>36</v>
      </c>
      <c r="AA4" s="312" t="s">
        <v>37</v>
      </c>
      <c r="AB4" s="312" t="s">
        <v>38</v>
      </c>
      <c r="AC4" s="313" t="s">
        <v>41</v>
      </c>
    </row>
    <row r="5" spans="1:29">
      <c r="A5" s="5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6" t="s">
        <v>42</v>
      </c>
      <c r="K5" s="6" t="s">
        <v>42</v>
      </c>
      <c r="L5" s="6" t="s">
        <v>42</v>
      </c>
      <c r="M5" s="7" t="s">
        <v>43</v>
      </c>
      <c r="N5" s="5" t="s">
        <v>42</v>
      </c>
      <c r="O5" s="6" t="s">
        <v>42</v>
      </c>
      <c r="P5" s="6" t="s">
        <v>42</v>
      </c>
      <c r="Q5" s="7" t="s">
        <v>43</v>
      </c>
      <c r="R5" s="5" t="s">
        <v>42</v>
      </c>
      <c r="S5" s="6" t="s">
        <v>42</v>
      </c>
      <c r="T5" s="6" t="s">
        <v>42</v>
      </c>
      <c r="U5" s="7" t="s">
        <v>43</v>
      </c>
      <c r="V5" s="6" t="s">
        <v>42</v>
      </c>
      <c r="W5" s="6" t="s">
        <v>42</v>
      </c>
      <c r="X5" s="6" t="s">
        <v>42</v>
      </c>
      <c r="Y5" s="7" t="s">
        <v>43</v>
      </c>
      <c r="Z5" s="5" t="s">
        <v>42</v>
      </c>
      <c r="AA5" s="6" t="s">
        <v>42</v>
      </c>
      <c r="AB5" s="6" t="s">
        <v>42</v>
      </c>
      <c r="AC5" s="7" t="s">
        <v>43</v>
      </c>
    </row>
    <row r="6" spans="1:29">
      <c r="A6" s="10"/>
      <c r="B6" s="10"/>
      <c r="C6" s="31"/>
      <c r="D6" s="31"/>
      <c r="E6" s="107"/>
      <c r="F6" s="132"/>
      <c r="G6" s="8"/>
      <c r="H6" s="8"/>
      <c r="I6" s="9"/>
      <c r="J6" s="8"/>
      <c r="K6" s="8"/>
      <c r="L6" s="8"/>
      <c r="M6" s="9"/>
      <c r="N6" s="132"/>
      <c r="O6" s="8"/>
      <c r="P6" s="8"/>
      <c r="Q6" s="9"/>
      <c r="R6" s="132"/>
      <c r="S6" s="8"/>
      <c r="T6" s="8"/>
      <c r="U6" s="9"/>
      <c r="V6" s="8"/>
      <c r="W6" s="8"/>
      <c r="X6" s="8"/>
      <c r="Y6" s="9"/>
      <c r="Z6" s="8"/>
      <c r="AA6" s="8"/>
      <c r="AB6" s="8"/>
      <c r="AC6" s="9"/>
    </row>
    <row r="7" spans="1:29">
      <c r="A7" s="153" t="s">
        <v>5</v>
      </c>
      <c r="B7" s="137">
        <f>'Sch DG-R Cust Fcst'!$B6*'Non-Residential TSM UC Adj'!B7</f>
        <v>0</v>
      </c>
      <c r="C7" s="23">
        <f>'Sch DG-R Cust Fcst'!$B6*'Non-Residential TSM UC Adj'!C7</f>
        <v>0</v>
      </c>
      <c r="D7" s="23">
        <f>'Sch DG-R Cust Fcst'!$B6*'Non-Residential TSM UC Adj'!D7</f>
        <v>0</v>
      </c>
      <c r="E7" s="45">
        <f>IF(SUM(B7:D7)=0,0,SUM(B7:D7)/'Sch DG-R Cust Fcst'!B6)</f>
        <v>0</v>
      </c>
      <c r="F7" s="137">
        <f>'Sch DG-R Cust Fcst'!$C6*'Non-Residential TSM UC Adj'!F7</f>
        <v>0</v>
      </c>
      <c r="G7" s="23">
        <f>'Sch DG-R Cust Fcst'!$C6*'Non-Residential TSM UC Adj'!G7</f>
        <v>0</v>
      </c>
      <c r="H7" s="23">
        <f>'Sch DG-R Cust Fcst'!$C6*'Non-Residential TSM UC Adj'!H7</f>
        <v>0</v>
      </c>
      <c r="I7" s="45">
        <f>IF(SUM(F7:H7)=0,0,SUM(F7:H7)/'Sch DG-R Cust Fcst'!C6)</f>
        <v>0</v>
      </c>
      <c r="J7" s="137">
        <f>'Sch DG-R Cust Fcst'!$D6*'Non-Residential TSM UC Adj'!J7</f>
        <v>0</v>
      </c>
      <c r="K7" s="23">
        <f>'Sch DG-R Cust Fcst'!$D6*'Non-Residential TSM UC Adj'!K7</f>
        <v>0</v>
      </c>
      <c r="L7" s="23">
        <f>'Sch DG-R Cust Fcst'!$D6*'Non-Residential TSM UC Adj'!L7</f>
        <v>0</v>
      </c>
      <c r="M7" s="45">
        <f>IF(SUM(J7:L7)=0,0,SUM(J7:L7)/'Sch DG-R Cust Fcst'!D6)</f>
        <v>0</v>
      </c>
      <c r="N7" s="137">
        <f>'Sch DG-R Cust Fcst'!$E6*'Non-Residential TSM UC Adj'!N7</f>
        <v>0</v>
      </c>
      <c r="O7" s="23">
        <f>'Sch DG-R Cust Fcst'!$E6*'Non-Residential TSM UC Adj'!O7</f>
        <v>0</v>
      </c>
      <c r="P7" s="23">
        <f>'Sch DG-R Cust Fcst'!$E6*'Non-Residential TSM UC Adj'!P7</f>
        <v>0</v>
      </c>
      <c r="Q7" s="45">
        <f>IF(SUM(N7:P7)=0,0,SUM(N7:P7)/'Sch DG-R Cust Fcst'!E6)</f>
        <v>0</v>
      </c>
      <c r="R7" s="137">
        <f>B7+F7+J7+N7</f>
        <v>0</v>
      </c>
      <c r="S7" s="23">
        <f>C7+G7+K7+O7</f>
        <v>0</v>
      </c>
      <c r="T7" s="23">
        <f>D7+H7+L7+P7</f>
        <v>0</v>
      </c>
      <c r="U7" s="45">
        <f>IF(SUM(R7:T7)=0,0,SUM(R7:T7)/'Sch DG-R Cust Fcst'!F6)</f>
        <v>0</v>
      </c>
      <c r="V7" s="37">
        <f>'Sch DG-R Cust Fcst'!$G6*'Non-Residential TSM UC Adj'!R7</f>
        <v>0</v>
      </c>
      <c r="W7" s="37">
        <f>'Sch DG-R Cust Fcst'!$G6*'Non-Residential TSM UC Adj'!S7</f>
        <v>0</v>
      </c>
      <c r="X7" s="37">
        <f>'Sch DG-R Cust Fcst'!$G6*'Non-Residential TSM UC Adj'!T7</f>
        <v>0</v>
      </c>
      <c r="Y7" s="45">
        <f>IF(SUM(V7:X7)=0,0,SUM(V7:X7)/'Sch DG-R Cust Fcst'!G6)</f>
        <v>0</v>
      </c>
      <c r="Z7" s="23">
        <f>R7+V7</f>
        <v>0</v>
      </c>
      <c r="AA7" s="23">
        <f t="shared" ref="AA7:AB22" si="0">S7+W7</f>
        <v>0</v>
      </c>
      <c r="AB7" s="23">
        <f t="shared" si="0"/>
        <v>0</v>
      </c>
      <c r="AC7" s="45">
        <f>IF(SUM(Z7:AB7)=0,0,SUM(Z7:AB7)/'Sch DG-R Cust Fcst'!H6)</f>
        <v>0</v>
      </c>
    </row>
    <row r="8" spans="1:29">
      <c r="A8" s="154" t="s">
        <v>6</v>
      </c>
      <c r="B8" s="137">
        <f>'Sch DG-R Cust Fcst'!$B7*'Non-Residential TSM UC Adj'!B8</f>
        <v>0</v>
      </c>
      <c r="C8" s="23">
        <f>'Sch DG-R Cust Fcst'!$B7*'Non-Residential TSM UC Adj'!C8</f>
        <v>0</v>
      </c>
      <c r="D8" s="23">
        <f>'Sch DG-R Cust Fcst'!$B7*'Non-Residential TSM UC Adj'!D8</f>
        <v>0</v>
      </c>
      <c r="E8" s="45">
        <f>IF(SUM(B8:D8)=0,0,SUM(B8:D8)/'Sch DG-R Cust Fcst'!B7)</f>
        <v>0</v>
      </c>
      <c r="F8" s="137">
        <f>'Sch DG-R Cust Fcst'!$C7*'Non-Residential TSM UC Adj'!F8</f>
        <v>0</v>
      </c>
      <c r="G8" s="23">
        <f>'Sch DG-R Cust Fcst'!$C7*'Non-Residential TSM UC Adj'!G8</f>
        <v>0</v>
      </c>
      <c r="H8" s="23">
        <f>'Sch DG-R Cust Fcst'!$C7*'Non-Residential TSM UC Adj'!H8</f>
        <v>0</v>
      </c>
      <c r="I8" s="45">
        <f>IF(SUM(F8:H8)=0,0,SUM(F8:H8)/'Sch DG-R Cust Fcst'!C7)</f>
        <v>0</v>
      </c>
      <c r="J8" s="137">
        <f>'Sch DG-R Cust Fcst'!$D7*'Non-Residential TSM UC Adj'!J8</f>
        <v>0</v>
      </c>
      <c r="K8" s="23">
        <f>'Sch DG-R Cust Fcst'!$D7*'Non-Residential TSM UC Adj'!K8</f>
        <v>0</v>
      </c>
      <c r="L8" s="23">
        <f>'Sch DG-R Cust Fcst'!$D7*'Non-Residential TSM UC Adj'!L8</f>
        <v>0</v>
      </c>
      <c r="M8" s="45">
        <f>IF(SUM(J8:L8)=0,0,SUM(J8:L8)/'Sch DG-R Cust Fcst'!D7)</f>
        <v>0</v>
      </c>
      <c r="N8" s="137">
        <f>'Sch DG-R Cust Fcst'!$E7*'Non-Residential TSM UC Adj'!N8</f>
        <v>0</v>
      </c>
      <c r="O8" s="23">
        <f>'Sch DG-R Cust Fcst'!$E7*'Non-Residential TSM UC Adj'!O8</f>
        <v>0</v>
      </c>
      <c r="P8" s="23">
        <f>'Sch DG-R Cust Fcst'!$E7*'Non-Residential TSM UC Adj'!P8</f>
        <v>0</v>
      </c>
      <c r="Q8" s="45">
        <f>IF(SUM(N8:P8)=0,0,SUM(N8:P8)/'Sch DG-R Cust Fcst'!E7)</f>
        <v>0</v>
      </c>
      <c r="R8" s="137">
        <f t="shared" ref="R8:R37" si="1">B8+F8+J8+N8</f>
        <v>0</v>
      </c>
      <c r="S8" s="23">
        <f t="shared" ref="S8:S37" si="2">C8+G8+K8+O8</f>
        <v>0</v>
      </c>
      <c r="T8" s="23">
        <f t="shared" ref="T8:T37" si="3">D8+H8+L8+P8</f>
        <v>0</v>
      </c>
      <c r="U8" s="45">
        <f>IF(SUM(R8:T8)=0,0,SUM(R8:T8)/'Sch DG-R Cust Fcst'!F7)</f>
        <v>0</v>
      </c>
      <c r="V8" s="37">
        <f>'Sch DG-R Cust Fcst'!$G7*'Non-Residential TSM UC Adj'!R8</f>
        <v>0</v>
      </c>
      <c r="W8" s="37">
        <f>'Sch DG-R Cust Fcst'!$G7*'Non-Residential TSM UC Adj'!S8</f>
        <v>0</v>
      </c>
      <c r="X8" s="37">
        <f>'Sch DG-R Cust Fcst'!$G7*'Non-Residential TSM UC Adj'!T8</f>
        <v>0</v>
      </c>
      <c r="Y8" s="45">
        <f>IF(SUM(V8:X8)=0,0,SUM(V8:X8)/'Sch DG-R Cust Fcst'!G7)</f>
        <v>0</v>
      </c>
      <c r="Z8" s="23">
        <f t="shared" ref="Z8:AB37" si="4">R8+V8</f>
        <v>0</v>
      </c>
      <c r="AA8" s="23">
        <f t="shared" si="0"/>
        <v>0</v>
      </c>
      <c r="AB8" s="23">
        <f t="shared" si="0"/>
        <v>0</v>
      </c>
      <c r="AC8" s="45">
        <f>IF(SUM(Z8:AB8)=0,0,SUM(Z8:AB8)/'Sch DG-R Cust Fcst'!H7)</f>
        <v>0</v>
      </c>
    </row>
    <row r="9" spans="1:29">
      <c r="A9" s="155" t="s">
        <v>7</v>
      </c>
      <c r="B9" s="137">
        <f>'Sch DG-R Cust Fcst'!$B8*'Non-Residential TSM UC Adj'!B9</f>
        <v>0</v>
      </c>
      <c r="C9" s="23">
        <f>'Sch DG-R Cust Fcst'!$B8*'Non-Residential TSM UC Adj'!C9</f>
        <v>0</v>
      </c>
      <c r="D9" s="23">
        <f>'Sch DG-R Cust Fcst'!$B8*'Non-Residential TSM UC Adj'!D9</f>
        <v>0</v>
      </c>
      <c r="E9" s="45">
        <f>IF(SUM(B9:D9)=0,0,SUM(B9:D9)/'Sch DG-R Cust Fcst'!B8)</f>
        <v>0</v>
      </c>
      <c r="F9" s="137">
        <f>'Sch DG-R Cust Fcst'!$C8*'Non-Residential TSM UC Adj'!F9</f>
        <v>0</v>
      </c>
      <c r="G9" s="23">
        <f>'Sch DG-R Cust Fcst'!$C8*'Non-Residential TSM UC Adj'!G9</f>
        <v>0</v>
      </c>
      <c r="H9" s="23">
        <f>'Sch DG-R Cust Fcst'!$C8*'Non-Residential TSM UC Adj'!H9</f>
        <v>0</v>
      </c>
      <c r="I9" s="45">
        <f>IF(SUM(F9:H9)=0,0,SUM(F9:H9)/'Sch DG-R Cust Fcst'!C8)</f>
        <v>0</v>
      </c>
      <c r="J9" s="137">
        <f>'Sch DG-R Cust Fcst'!$D8*'Non-Residential TSM UC Adj'!J9</f>
        <v>0</v>
      </c>
      <c r="K9" s="23">
        <f>'Sch DG-R Cust Fcst'!$D8*'Non-Residential TSM UC Adj'!K9</f>
        <v>0</v>
      </c>
      <c r="L9" s="23">
        <f>'Sch DG-R Cust Fcst'!$D8*'Non-Residential TSM UC Adj'!L9</f>
        <v>0</v>
      </c>
      <c r="M9" s="45">
        <f>IF(SUM(J9:L9)=0,0,SUM(J9:L9)/'Sch DG-R Cust Fcst'!D8)</f>
        <v>0</v>
      </c>
      <c r="N9" s="137">
        <f>'Sch DG-R Cust Fcst'!$E8*'Non-Residential TSM UC Adj'!N9</f>
        <v>0</v>
      </c>
      <c r="O9" s="23">
        <f>'Sch DG-R Cust Fcst'!$E8*'Non-Residential TSM UC Adj'!O9</f>
        <v>0</v>
      </c>
      <c r="P9" s="23">
        <f>'Sch DG-R Cust Fcst'!$E8*'Non-Residential TSM UC Adj'!P9</f>
        <v>0</v>
      </c>
      <c r="Q9" s="45">
        <f>IF(SUM(N9:P9)=0,0,SUM(N9:P9)/'Sch DG-R Cust Fcst'!E8)</f>
        <v>0</v>
      </c>
      <c r="R9" s="137">
        <f t="shared" si="1"/>
        <v>0</v>
      </c>
      <c r="S9" s="23">
        <f t="shared" si="2"/>
        <v>0</v>
      </c>
      <c r="T9" s="23">
        <f t="shared" si="3"/>
        <v>0</v>
      </c>
      <c r="U9" s="45">
        <f>IF(SUM(R9:T9)=0,0,SUM(R9:T9)/'Sch DG-R Cust Fcst'!F8)</f>
        <v>0</v>
      </c>
      <c r="V9" s="37">
        <f>'Sch DG-R Cust Fcst'!$G8*'Non-Residential TSM UC Adj'!R9</f>
        <v>0</v>
      </c>
      <c r="W9" s="37">
        <f>'Sch DG-R Cust Fcst'!$G8*'Non-Residential TSM UC Adj'!S9</f>
        <v>0</v>
      </c>
      <c r="X9" s="37">
        <f>'Sch DG-R Cust Fcst'!$G8*'Non-Residential TSM UC Adj'!T9</f>
        <v>0</v>
      </c>
      <c r="Y9" s="45">
        <f>IF(SUM(V9:X9)=0,0,SUM(V9:X9)/'Sch DG-R Cust Fcst'!G8)</f>
        <v>0</v>
      </c>
      <c r="Z9" s="23">
        <f t="shared" si="4"/>
        <v>0</v>
      </c>
      <c r="AA9" s="23">
        <f t="shared" si="0"/>
        <v>0</v>
      </c>
      <c r="AB9" s="23">
        <f t="shared" si="0"/>
        <v>0</v>
      </c>
      <c r="AC9" s="45">
        <f>IF(SUM(Z9:AB9)=0,0,SUM(Z9:AB9)/'Sch DG-R Cust Fcst'!H8)</f>
        <v>0</v>
      </c>
    </row>
    <row r="10" spans="1:29">
      <c r="A10" s="155" t="s">
        <v>124</v>
      </c>
      <c r="B10" s="137">
        <f>'Sch DG-R Cust Fcst'!$B9*'Non-Residential TSM UC Adj'!B10</f>
        <v>0</v>
      </c>
      <c r="C10" s="23">
        <f>'Sch DG-R Cust Fcst'!$B9*'Non-Residential TSM UC Adj'!C10</f>
        <v>0</v>
      </c>
      <c r="D10" s="23">
        <f>'Sch DG-R Cust Fcst'!$B9*'Non-Residential TSM UC Adj'!D10</f>
        <v>0</v>
      </c>
      <c r="E10" s="45">
        <f>IF(SUM(B10:D10)=0,0,SUM(B10:D10)/'Sch DG-R Cust Fcst'!B9)</f>
        <v>0</v>
      </c>
      <c r="F10" s="137">
        <f>'Sch DG-R Cust Fcst'!$C9*'Non-Residential TSM UC Adj'!F10</f>
        <v>0</v>
      </c>
      <c r="G10" s="23">
        <f>'Sch DG-R Cust Fcst'!$C9*'Non-Residential TSM UC Adj'!G10</f>
        <v>0</v>
      </c>
      <c r="H10" s="23">
        <f>'Sch DG-R Cust Fcst'!$C9*'Non-Residential TSM UC Adj'!H10</f>
        <v>0</v>
      </c>
      <c r="I10" s="45">
        <f>IF(SUM(F10:H10)=0,0,SUM(F10:H10)/'Sch DG-R Cust Fcst'!C9)</f>
        <v>0</v>
      </c>
      <c r="J10" s="137">
        <f>'Sch DG-R Cust Fcst'!$D9*'Non-Residential TSM UC Adj'!J10</f>
        <v>9896.1965863786772</v>
      </c>
      <c r="K10" s="23">
        <f>'Sch DG-R Cust Fcst'!$D9*'Non-Residential TSM UC Adj'!K10</f>
        <v>1436.5838382290649</v>
      </c>
      <c r="L10" s="23">
        <f>'Sch DG-R Cust Fcst'!$D9*'Non-Residential TSM UC Adj'!L10</f>
        <v>603.52699792028352</v>
      </c>
      <c r="M10" s="45">
        <f>IF(SUM(J10:L10)=0,0,SUM(J10:L10)/'Sch DG-R Cust Fcst'!D9)</f>
        <v>5968.1537112640135</v>
      </c>
      <c r="N10" s="137">
        <f>'Sch DG-R Cust Fcst'!$E9*'Non-Residential TSM UC Adj'!N10</f>
        <v>0</v>
      </c>
      <c r="O10" s="23">
        <f>'Sch DG-R Cust Fcst'!$E9*'Non-Residential TSM UC Adj'!O10</f>
        <v>0</v>
      </c>
      <c r="P10" s="23">
        <f>'Sch DG-R Cust Fcst'!$E9*'Non-Residential TSM UC Adj'!P10</f>
        <v>0</v>
      </c>
      <c r="Q10" s="45">
        <f>IF(SUM(N10:P10)=0,0,SUM(N10:P10)/'Sch DG-R Cust Fcst'!E9)</f>
        <v>0</v>
      </c>
      <c r="R10" s="137">
        <f t="shared" si="1"/>
        <v>9896.1965863786772</v>
      </c>
      <c r="S10" s="23">
        <f t="shared" si="2"/>
        <v>1436.5838382290649</v>
      </c>
      <c r="T10" s="23">
        <f t="shared" si="3"/>
        <v>603.52699792028352</v>
      </c>
      <c r="U10" s="45">
        <f>IF(SUM(R10:T10)=0,0,SUM(R10:T10)/'Sch DG-R Cust Fcst'!F9)</f>
        <v>5968.1537112640135</v>
      </c>
      <c r="V10" s="37">
        <f>'Sch DG-R Cust Fcst'!$G9*'Non-Residential TSM UC Adj'!R10</f>
        <v>0</v>
      </c>
      <c r="W10" s="37">
        <f>'Sch DG-R Cust Fcst'!$G9*'Non-Residential TSM UC Adj'!S10</f>
        <v>0</v>
      </c>
      <c r="X10" s="37">
        <f>'Sch DG-R Cust Fcst'!$G9*'Non-Residential TSM UC Adj'!T10</f>
        <v>0</v>
      </c>
      <c r="Y10" s="45">
        <f>IF(SUM(V10:X10)=0,0,SUM(V10:X10)/'Sch DG-R Cust Fcst'!G9)</f>
        <v>0</v>
      </c>
      <c r="Z10" s="23">
        <f t="shared" si="4"/>
        <v>9896.1965863786772</v>
      </c>
      <c r="AA10" s="23">
        <f t="shared" si="0"/>
        <v>1436.5838382290649</v>
      </c>
      <c r="AB10" s="23">
        <f t="shared" si="0"/>
        <v>603.52699792028352</v>
      </c>
      <c r="AC10" s="45">
        <f>IF(SUM(Z10:AB10)=0,0,SUM(Z10:AB10)/'Sch DG-R Cust Fcst'!H9)</f>
        <v>5968.1537112640135</v>
      </c>
    </row>
    <row r="11" spans="1:29">
      <c r="A11" s="155" t="s">
        <v>116</v>
      </c>
      <c r="B11" s="137">
        <f>'Sch DG-R Cust Fcst'!$B10*'Non-Residential TSM UC Adj'!B11</f>
        <v>2182.7286417415198</v>
      </c>
      <c r="C11" s="23">
        <f>'Sch DG-R Cust Fcst'!$B10*'Non-Residential TSM UC Adj'!C11</f>
        <v>172.82934577832256</v>
      </c>
      <c r="D11" s="23">
        <f>'Sch DG-R Cust Fcst'!$B10*'Non-Residential TSM UC Adj'!D11</f>
        <v>234.29973156037588</v>
      </c>
      <c r="E11" s="45">
        <f>IF(SUM(B11:D11)=0,0,SUM(B11:D11)/'Sch DG-R Cust Fcst'!B10)</f>
        <v>2589.857719080218</v>
      </c>
      <c r="F11" s="137">
        <f>'Sch DG-R Cust Fcst'!$C10*'Non-Residential TSM UC Adj'!F11</f>
        <v>0</v>
      </c>
      <c r="G11" s="23">
        <f>'Sch DG-R Cust Fcst'!$C10*'Non-Residential TSM UC Adj'!G11</f>
        <v>0</v>
      </c>
      <c r="H11" s="23">
        <f>'Sch DG-R Cust Fcst'!$C10*'Non-Residential TSM UC Adj'!H11</f>
        <v>0</v>
      </c>
      <c r="I11" s="45">
        <f>IF(SUM(F11:H11)=0,0,SUM(F11:H11)/'Sch DG-R Cust Fcst'!C10)</f>
        <v>0</v>
      </c>
      <c r="J11" s="137">
        <f>'Sch DG-R Cust Fcst'!$D10*'Non-Residential TSM UC Adj'!J11</f>
        <v>14844.294879568017</v>
      </c>
      <c r="K11" s="23">
        <f>'Sch DG-R Cust Fcst'!$D10*'Non-Residential TSM UC Adj'!K11</f>
        <v>2154.8757573435973</v>
      </c>
      <c r="L11" s="23">
        <f>'Sch DG-R Cust Fcst'!$D10*'Non-Residential TSM UC Adj'!L11</f>
        <v>905.29049688042528</v>
      </c>
      <c r="M11" s="45">
        <f>IF(SUM(J11:L11)=0,0,SUM(J11:L11)/'Sch DG-R Cust Fcst'!D10)</f>
        <v>5968.1537112640135</v>
      </c>
      <c r="N11" s="137">
        <f>'Sch DG-R Cust Fcst'!$E10*'Non-Residential TSM UC Adj'!N11</f>
        <v>0</v>
      </c>
      <c r="O11" s="23">
        <f>'Sch DG-R Cust Fcst'!$E10*'Non-Residential TSM UC Adj'!O11</f>
        <v>0</v>
      </c>
      <c r="P11" s="23">
        <f>'Sch DG-R Cust Fcst'!$E10*'Non-Residential TSM UC Adj'!P11</f>
        <v>0</v>
      </c>
      <c r="Q11" s="45">
        <f>IF(SUM(N11:P11)=0,0,SUM(N11:P11)/'Sch DG-R Cust Fcst'!E10)</f>
        <v>0</v>
      </c>
      <c r="R11" s="137">
        <f t="shared" si="1"/>
        <v>17027.023521309537</v>
      </c>
      <c r="S11" s="23">
        <f t="shared" si="2"/>
        <v>2327.7051031219198</v>
      </c>
      <c r="T11" s="23">
        <f t="shared" si="3"/>
        <v>1139.5902284408012</v>
      </c>
      <c r="U11" s="45">
        <f>IF(SUM(R11:T11)=0,0,SUM(R11:T11)/'Sch DG-R Cust Fcst'!F10)</f>
        <v>5123.5797132180642</v>
      </c>
      <c r="V11" s="37">
        <f>'Sch DG-R Cust Fcst'!$G10*'Non-Residential TSM UC Adj'!R11</f>
        <v>0</v>
      </c>
      <c r="W11" s="37">
        <f>'Sch DG-R Cust Fcst'!$G10*'Non-Residential TSM UC Adj'!S11</f>
        <v>0</v>
      </c>
      <c r="X11" s="37">
        <f>'Sch DG-R Cust Fcst'!$G10*'Non-Residential TSM UC Adj'!T11</f>
        <v>0</v>
      </c>
      <c r="Y11" s="45">
        <f>IF(SUM(V11:X11)=0,0,SUM(V11:X11)/'Sch DG-R Cust Fcst'!G10)</f>
        <v>0</v>
      </c>
      <c r="Z11" s="23">
        <f t="shared" si="4"/>
        <v>17027.023521309537</v>
      </c>
      <c r="AA11" s="23">
        <f t="shared" si="0"/>
        <v>2327.7051031219198</v>
      </c>
      <c r="AB11" s="23">
        <f t="shared" si="0"/>
        <v>1139.5902284408012</v>
      </c>
      <c r="AC11" s="45">
        <f>IF(SUM(Z11:AB11)=0,0,SUM(Z11:AB11)/'Sch DG-R Cust Fcst'!H10)</f>
        <v>5123.5797132180642</v>
      </c>
    </row>
    <row r="12" spans="1:29">
      <c r="A12" s="155" t="s">
        <v>8</v>
      </c>
      <c r="B12" s="137">
        <f>'Sch DG-R Cust Fcst'!$B11*'Non-Residential TSM UC Adj'!B12</f>
        <v>18760.374370886544</v>
      </c>
      <c r="C12" s="23">
        <f>'Sch DG-R Cust Fcst'!$B11*'Non-Residential TSM UC Adj'!C12</f>
        <v>1666.6717235762076</v>
      </c>
      <c r="D12" s="23">
        <f>'Sch DG-R Cust Fcst'!$B11*'Non-Residential TSM UC Adj'!D12</f>
        <v>937.1989262415035</v>
      </c>
      <c r="E12" s="45">
        <f>IF(SUM(B12:D12)=0,0,SUM(B12:D12)/'Sch DG-R Cust Fcst'!B11)</f>
        <v>5341.0612551760642</v>
      </c>
      <c r="F12" s="137">
        <f>'Sch DG-R Cust Fcst'!$C11*'Non-Residential TSM UC Adj'!F12</f>
        <v>70588.65296197508</v>
      </c>
      <c r="G12" s="23">
        <f>'Sch DG-R Cust Fcst'!$C11*'Non-Residential TSM UC Adj'!G12</f>
        <v>4676.1755357114498</v>
      </c>
      <c r="H12" s="23">
        <f>'Sch DG-R Cust Fcst'!$C11*'Non-Residential TSM UC Adj'!H12</f>
        <v>1508.8174948007088</v>
      </c>
      <c r="I12" s="45">
        <f>IF(SUM(F12:H12)=0,0,SUM(F12:H12)/'Sch DG-R Cust Fcst'!C11)</f>
        <v>15354.729198497447</v>
      </c>
      <c r="J12" s="137">
        <f>'Sch DG-R Cust Fcst'!$D11*'Non-Residential TSM UC Adj'!J12</f>
        <v>771903.3337375368</v>
      </c>
      <c r="K12" s="23">
        <f>'Sch DG-R Cust Fcst'!$D11*'Non-Residential TSM UC Adj'!K12</f>
        <v>48632.225571399074</v>
      </c>
      <c r="L12" s="23">
        <f>'Sch DG-R Cust Fcst'!$D11*'Non-Residential TSM UC Adj'!L12</f>
        <v>15691.701945927372</v>
      </c>
      <c r="M12" s="45">
        <f>IF(SUM(J12:L12)=0,0,SUM(J12:L12)/'Sch DG-R Cust Fcst'!D11)</f>
        <v>16081.293485670447</v>
      </c>
      <c r="N12" s="137">
        <f>'Sch DG-R Cust Fcst'!$E11*'Non-Residential TSM UC Adj'!N12</f>
        <v>17510.38454743156</v>
      </c>
      <c r="O12" s="23">
        <f>'Sch DG-R Cust Fcst'!$E11*'Non-Residential TSM UC Adj'!O12</f>
        <v>2805.7053214268699</v>
      </c>
      <c r="P12" s="23">
        <f>'Sch DG-R Cust Fcst'!$E11*'Non-Residential TSM UC Adj'!P12</f>
        <v>905.29049688042528</v>
      </c>
      <c r="Q12" s="45">
        <f>IF(SUM(N12:P12)=0,0,SUM(N12:P12)/'Sch DG-R Cust Fcst'!E11)</f>
        <v>7073.7934552462857</v>
      </c>
      <c r="R12" s="137">
        <f t="shared" si="1"/>
        <v>878762.74561783008</v>
      </c>
      <c r="S12" s="23">
        <f t="shared" si="2"/>
        <v>57780.778152113598</v>
      </c>
      <c r="T12" s="23">
        <f t="shared" si="3"/>
        <v>19043.008863850009</v>
      </c>
      <c r="U12" s="45">
        <f>IF(SUM(R12:T12)=0,0,SUM(R12:T12)/'Sch DG-R Cust Fcst'!F11)</f>
        <v>14931.039572403026</v>
      </c>
      <c r="V12" s="37">
        <f>'Sch DG-R Cust Fcst'!$G11*'Non-Residential TSM UC Adj'!R12</f>
        <v>0</v>
      </c>
      <c r="W12" s="37">
        <f>'Sch DG-R Cust Fcst'!$G11*'Non-Residential TSM UC Adj'!S12</f>
        <v>0</v>
      </c>
      <c r="X12" s="37">
        <f>'Sch DG-R Cust Fcst'!$G11*'Non-Residential TSM UC Adj'!T12</f>
        <v>0</v>
      </c>
      <c r="Y12" s="45">
        <f>IF(SUM(V12:X12)=0,0,SUM(V12:X12)/'Sch DG-R Cust Fcst'!G11)</f>
        <v>0</v>
      </c>
      <c r="Z12" s="23">
        <f t="shared" si="4"/>
        <v>878762.74561783008</v>
      </c>
      <c r="AA12" s="23">
        <f t="shared" si="0"/>
        <v>57780.778152113598</v>
      </c>
      <c r="AB12" s="23">
        <f t="shared" si="0"/>
        <v>19043.008863850009</v>
      </c>
      <c r="AC12" s="45">
        <f>IF(SUM(Z12:AB12)=0,0,SUM(Z12:AB12)/'Sch DG-R Cust Fcst'!H11)</f>
        <v>14931.039572403026</v>
      </c>
    </row>
    <row r="13" spans="1:29">
      <c r="A13" s="155" t="s">
        <v>9</v>
      </c>
      <c r="B13" s="137">
        <f>'Sch DG-R Cust Fcst'!$B12*'Non-Residential TSM UC Adj'!B13</f>
        <v>0</v>
      </c>
      <c r="C13" s="23">
        <f>'Sch DG-R Cust Fcst'!$B12*'Non-Residential TSM UC Adj'!C13</f>
        <v>0</v>
      </c>
      <c r="D13" s="23">
        <f>'Sch DG-R Cust Fcst'!$B12*'Non-Residential TSM UC Adj'!D13</f>
        <v>0</v>
      </c>
      <c r="E13" s="45">
        <f>IF(SUM(B13:D13)=0,0,SUM(B13:D13)/'Sch DG-R Cust Fcst'!B12)</f>
        <v>0</v>
      </c>
      <c r="F13" s="137">
        <f>'Sch DG-R Cust Fcst'!$C12*'Non-Residential TSM UC Adj'!F13</f>
        <v>56470.922369580068</v>
      </c>
      <c r="G13" s="23">
        <f>'Sch DG-R Cust Fcst'!$C12*'Non-Residential TSM UC Adj'!G13</f>
        <v>5762.1997393613065</v>
      </c>
      <c r="H13" s="23">
        <f>'Sch DG-R Cust Fcst'!$C12*'Non-Residential TSM UC Adj'!H13</f>
        <v>1207.053995840567</v>
      </c>
      <c r="I13" s="45">
        <f>IF(SUM(F13:H13)=0,0,SUM(F13:H13)/'Sch DG-R Cust Fcst'!C12)</f>
        <v>15860.044026195485</v>
      </c>
      <c r="J13" s="137">
        <f>'Sch DG-R Cust Fcst'!$D12*'Non-Residential TSM UC Adj'!J13</f>
        <v>578927.5003031526</v>
      </c>
      <c r="K13" s="23">
        <f>'Sch DG-R Cust Fcst'!$D12*'Non-Residential TSM UC Adj'!K13</f>
        <v>56181.447458772738</v>
      </c>
      <c r="L13" s="23">
        <f>'Sch DG-R Cust Fcst'!$D12*'Non-Residential TSM UC Adj'!L13</f>
        <v>11768.776459445529</v>
      </c>
      <c r="M13" s="45">
        <f>IF(SUM(J13:L13)=0,0,SUM(J13:L13)/'Sch DG-R Cust Fcst'!D12)</f>
        <v>16586.608313368481</v>
      </c>
      <c r="N13" s="137">
        <f>'Sch DG-R Cust Fcst'!$E12*'Non-Residential TSM UC Adj'!N13</f>
        <v>140083.07637945248</v>
      </c>
      <c r="O13" s="23">
        <f>'Sch DG-R Cust Fcst'!$E12*'Non-Residential TSM UC Adj'!O13</f>
        <v>14963.761714276639</v>
      </c>
      <c r="P13" s="23">
        <f>'Sch DG-R Cust Fcst'!$E12*'Non-Residential TSM UC Adj'!P13</f>
        <v>4828.2159833622682</v>
      </c>
      <c r="Q13" s="45">
        <f>IF(SUM(N13:P13)=0,0,SUM(N13:P13)/'Sch DG-R Cust Fcst'!E12)</f>
        <v>9992.1908798182103</v>
      </c>
      <c r="R13" s="137">
        <f t="shared" si="1"/>
        <v>775481.4990521851</v>
      </c>
      <c r="S13" s="23">
        <f t="shared" si="2"/>
        <v>76907.408912410683</v>
      </c>
      <c r="T13" s="23">
        <f t="shared" si="3"/>
        <v>17804.046438648365</v>
      </c>
      <c r="U13" s="45">
        <f>IF(SUM(R13:T13)=0,0,SUM(R13:T13)/'Sch DG-R Cust Fcst'!F12)</f>
        <v>14749.033125478714</v>
      </c>
      <c r="V13" s="37">
        <f>'Sch DG-R Cust Fcst'!$G12*'Non-Residential TSM UC Adj'!R13</f>
        <v>0</v>
      </c>
      <c r="W13" s="37">
        <f>'Sch DG-R Cust Fcst'!$G12*'Non-Residential TSM UC Adj'!S13</f>
        <v>0</v>
      </c>
      <c r="X13" s="37">
        <f>'Sch DG-R Cust Fcst'!$G12*'Non-Residential TSM UC Adj'!T13</f>
        <v>0</v>
      </c>
      <c r="Y13" s="45">
        <f>IF(SUM(V13:X13)=0,0,SUM(V13:X13)/'Sch DG-R Cust Fcst'!G12)</f>
        <v>0</v>
      </c>
      <c r="Z13" s="23">
        <f t="shared" si="4"/>
        <v>775481.4990521851</v>
      </c>
      <c r="AA13" s="23">
        <f t="shared" si="0"/>
        <v>76907.408912410683</v>
      </c>
      <c r="AB13" s="23">
        <f t="shared" si="0"/>
        <v>17804.046438648365</v>
      </c>
      <c r="AC13" s="45">
        <f>IF(SUM(Z13:AB13)=0,0,SUM(Z13:AB13)/'Sch DG-R Cust Fcst'!H12)</f>
        <v>14749.033125478714</v>
      </c>
    </row>
    <row r="14" spans="1:29">
      <c r="A14" s="155" t="s">
        <v>10</v>
      </c>
      <c r="B14" s="137">
        <f>'Sch DG-R Cust Fcst'!$B13*'Non-Residential TSM UC Adj'!B14</f>
        <v>0</v>
      </c>
      <c r="C14" s="23">
        <f>'Sch DG-R Cust Fcst'!$B13*'Non-Residential TSM UC Adj'!C14</f>
        <v>0</v>
      </c>
      <c r="D14" s="23">
        <f>'Sch DG-R Cust Fcst'!$B13*'Non-Residential TSM UC Adj'!D14</f>
        <v>0</v>
      </c>
      <c r="E14" s="45">
        <f>IF(SUM(B14:D14)=0,0,SUM(B14:D14)/'Sch DG-R Cust Fcst'!B13)</f>
        <v>0</v>
      </c>
      <c r="F14" s="137">
        <f>'Sch DG-R Cust Fcst'!$C13*'Non-Residential TSM UC Adj'!F14</f>
        <v>16678.386902638726</v>
      </c>
      <c r="G14" s="23">
        <f>'Sch DG-R Cust Fcst'!$C13*'Non-Residential TSM UC Adj'!G14</f>
        <v>2881.0998696806532</v>
      </c>
      <c r="H14" s="23">
        <f>'Sch DG-R Cust Fcst'!$C13*'Non-Residential TSM UC Adj'!H14</f>
        <v>603.52699792028352</v>
      </c>
      <c r="I14" s="45">
        <f>IF(SUM(F14:H14)=0,0,SUM(F14:H14)/'Sch DG-R Cust Fcst'!C13)</f>
        <v>10081.50688511983</v>
      </c>
      <c r="J14" s="137">
        <f>'Sch DG-R Cust Fcst'!$D13*'Non-Residential TSM UC Adj'!J14</f>
        <v>171950.78368712717</v>
      </c>
      <c r="K14" s="23">
        <f>'Sch DG-R Cust Fcst'!$D13*'Non-Residential TSM UC Adj'!K14</f>
        <v>28810.998696806531</v>
      </c>
      <c r="L14" s="23">
        <f>'Sch DG-R Cust Fcst'!$D13*'Non-Residential TSM UC Adj'!L14</f>
        <v>6035.2699792028352</v>
      </c>
      <c r="M14" s="45">
        <f>IF(SUM(J14:L14)=0,0,SUM(J14:L14)/'Sch DG-R Cust Fcst'!D13)</f>
        <v>10339.852618156827</v>
      </c>
      <c r="N14" s="137">
        <f>'Sch DG-R Cust Fcst'!$E13*'Non-Residential TSM UC Adj'!N14</f>
        <v>131327.88410573671</v>
      </c>
      <c r="O14" s="23">
        <f>'Sch DG-R Cust Fcst'!$E13*'Non-Residential TSM UC Adj'!O14</f>
        <v>21608.249022604898</v>
      </c>
      <c r="P14" s="23">
        <f>'Sch DG-R Cust Fcst'!$E13*'Non-Residential TSM UC Adj'!P14</f>
        <v>4526.4524844021262</v>
      </c>
      <c r="Q14" s="45">
        <f>IF(SUM(N14:P14)=0,0,SUM(N14:P14)/'Sch DG-R Cust Fcst'!E13)</f>
        <v>10497.505707516249</v>
      </c>
      <c r="R14" s="137">
        <f t="shared" si="1"/>
        <v>319957.05469550262</v>
      </c>
      <c r="S14" s="23">
        <f t="shared" si="2"/>
        <v>53300.347589092082</v>
      </c>
      <c r="T14" s="23">
        <f t="shared" si="3"/>
        <v>11165.249461525244</v>
      </c>
      <c r="U14" s="45">
        <f>IF(SUM(R14:T14)=0,0,SUM(R14:T14)/'Sch DG-R Cust Fcst'!F13)</f>
        <v>10389.801398543783</v>
      </c>
      <c r="V14" s="37">
        <f>'Sch DG-R Cust Fcst'!$G13*'Non-Residential TSM UC Adj'!R14</f>
        <v>0</v>
      </c>
      <c r="W14" s="37">
        <f>'Sch DG-R Cust Fcst'!$G13*'Non-Residential TSM UC Adj'!S14</f>
        <v>0</v>
      </c>
      <c r="X14" s="37">
        <f>'Sch DG-R Cust Fcst'!$G13*'Non-Residential TSM UC Adj'!T14</f>
        <v>0</v>
      </c>
      <c r="Y14" s="45">
        <f>IF(SUM(V14:X14)=0,0,SUM(V14:X14)/'Sch DG-R Cust Fcst'!G13)</f>
        <v>0</v>
      </c>
      <c r="Z14" s="23">
        <f t="shared" si="4"/>
        <v>319957.05469550262</v>
      </c>
      <c r="AA14" s="23">
        <f t="shared" si="0"/>
        <v>53300.347589092082</v>
      </c>
      <c r="AB14" s="23">
        <f t="shared" si="0"/>
        <v>11165.249461525244</v>
      </c>
      <c r="AC14" s="45">
        <f>IF(SUM(Z14:AB14)=0,0,SUM(Z14:AB14)/'Sch DG-R Cust Fcst'!H13)</f>
        <v>10389.801398543783</v>
      </c>
    </row>
    <row r="15" spans="1:29">
      <c r="A15" s="155" t="s">
        <v>11</v>
      </c>
      <c r="B15" s="137">
        <f>'Sch DG-R Cust Fcst'!$B14*'Non-Residential TSM UC Adj'!B15</f>
        <v>0</v>
      </c>
      <c r="C15" s="23">
        <f>'Sch DG-R Cust Fcst'!$B14*'Non-Residential TSM UC Adj'!C15</f>
        <v>0</v>
      </c>
      <c r="D15" s="23">
        <f>'Sch DG-R Cust Fcst'!$B14*'Non-Residential TSM UC Adj'!D15</f>
        <v>0</v>
      </c>
      <c r="E15" s="45">
        <f>IF(SUM(B15:D15)=0,0,SUM(B15:D15)/'Sch DG-R Cust Fcst'!B14)</f>
        <v>0</v>
      </c>
      <c r="F15" s="137">
        <f>'Sch DG-R Cust Fcst'!$C14*'Non-Residential TSM UC Adj'!F15</f>
        <v>0</v>
      </c>
      <c r="G15" s="23">
        <f>'Sch DG-R Cust Fcst'!$C14*'Non-Residential TSM UC Adj'!G15</f>
        <v>0</v>
      </c>
      <c r="H15" s="23">
        <f>'Sch DG-R Cust Fcst'!$C14*'Non-Residential TSM UC Adj'!H15</f>
        <v>0</v>
      </c>
      <c r="I15" s="45">
        <f>IF(SUM(F15:H15)=0,0,SUM(F15:H15)/'Sch DG-R Cust Fcst'!C14)</f>
        <v>0</v>
      </c>
      <c r="J15" s="137">
        <f>'Sch DG-R Cust Fcst'!$D14*'Non-Residential TSM UC Adj'!J15</f>
        <v>189145.86205583991</v>
      </c>
      <c r="K15" s="23">
        <f>'Sch DG-R Cust Fcst'!$D14*'Non-Residential TSM UC Adj'!K15</f>
        <v>31692.098566487184</v>
      </c>
      <c r="L15" s="23">
        <f>'Sch DG-R Cust Fcst'!$D14*'Non-Residential TSM UC Adj'!L15</f>
        <v>9522.4343532064358</v>
      </c>
      <c r="M15" s="45">
        <f>IF(SUM(J15:L15)=0,0,SUM(J15:L15)/'Sch DG-R Cust Fcst'!D14)</f>
        <v>20941.854088684868</v>
      </c>
      <c r="N15" s="137">
        <f>'Sch DG-R Cust Fcst'!$E14*'Non-Residential TSM UC Adj'!N15</f>
        <v>280166.15275890497</v>
      </c>
      <c r="O15" s="23">
        <f>'Sch DG-R Cust Fcst'!$E14*'Non-Residential TSM UC Adj'!O15</f>
        <v>23048.798957445226</v>
      </c>
      <c r="P15" s="23">
        <f>'Sch DG-R Cust Fcst'!$E14*'Non-Residential TSM UC Adj'!P15</f>
        <v>13850.813604663907</v>
      </c>
      <c r="Q15" s="45">
        <f>IF(SUM(N15:P15)=0,0,SUM(N15:P15)/'Sch DG-R Cust Fcst'!E14)</f>
        <v>19816.610332563381</v>
      </c>
      <c r="R15" s="137">
        <f t="shared" si="1"/>
        <v>469312.01481474488</v>
      </c>
      <c r="S15" s="23">
        <f t="shared" si="2"/>
        <v>54740.897523932406</v>
      </c>
      <c r="T15" s="23">
        <f t="shared" si="3"/>
        <v>23373.247957870342</v>
      </c>
      <c r="U15" s="45">
        <f>IF(SUM(R15:T15)=0,0,SUM(R15:T15)/'Sch DG-R Cust Fcst'!F14)</f>
        <v>20275.042973946205</v>
      </c>
      <c r="V15" s="37">
        <f>'Sch DG-R Cust Fcst'!$G14*'Non-Residential TSM UC Adj'!R15</f>
        <v>0</v>
      </c>
      <c r="W15" s="37">
        <f>'Sch DG-R Cust Fcst'!$G14*'Non-Residential TSM UC Adj'!S15</f>
        <v>0</v>
      </c>
      <c r="X15" s="37">
        <f>'Sch DG-R Cust Fcst'!$G14*'Non-Residential TSM UC Adj'!T15</f>
        <v>0</v>
      </c>
      <c r="Y15" s="45">
        <f>IF(SUM(V15:X15)=0,0,SUM(V15:X15)/'Sch DG-R Cust Fcst'!G14)</f>
        <v>0</v>
      </c>
      <c r="Z15" s="23">
        <f t="shared" si="4"/>
        <v>469312.01481474488</v>
      </c>
      <c r="AA15" s="23">
        <f t="shared" si="0"/>
        <v>54740.897523932406</v>
      </c>
      <c r="AB15" s="23">
        <f t="shared" si="0"/>
        <v>23373.247957870342</v>
      </c>
      <c r="AC15" s="45">
        <f>IF(SUM(Z15:AB15)=0,0,SUM(Z15:AB15)/'Sch DG-R Cust Fcst'!H14)</f>
        <v>20275.042973946205</v>
      </c>
    </row>
    <row r="16" spans="1:29">
      <c r="A16" s="155" t="s">
        <v>120</v>
      </c>
      <c r="B16" s="137">
        <f>'Sch DG-R Cust Fcst'!$B15*'Non-Residential TSM UC Adj'!B16</f>
        <v>0</v>
      </c>
      <c r="C16" s="23">
        <f>'Sch DG-R Cust Fcst'!$B15*'Non-Residential TSM UC Adj'!C16</f>
        <v>0</v>
      </c>
      <c r="D16" s="23">
        <f>'Sch DG-R Cust Fcst'!$B15*'Non-Residential TSM UC Adj'!D16</f>
        <v>0</v>
      </c>
      <c r="E16" s="45">
        <f>IF(SUM(B16:D16)=0,0,SUM(B16:D16)/'Sch DG-R Cust Fcst'!B15)</f>
        <v>0</v>
      </c>
      <c r="F16" s="137">
        <f>'Sch DG-R Cust Fcst'!$C15*'Non-Residential TSM UC Adj'!F16</f>
        <v>0</v>
      </c>
      <c r="G16" s="23">
        <f>'Sch DG-R Cust Fcst'!$C15*'Non-Residential TSM UC Adj'!G16</f>
        <v>0</v>
      </c>
      <c r="H16" s="23">
        <f>'Sch DG-R Cust Fcst'!$C15*'Non-Residential TSM UC Adj'!H16</f>
        <v>0</v>
      </c>
      <c r="I16" s="45">
        <f>IF(SUM(F16:H16)=0,0,SUM(F16:H16)/'Sch DG-R Cust Fcst'!C15)</f>
        <v>0</v>
      </c>
      <c r="J16" s="137">
        <f>'Sch DG-R Cust Fcst'!$D15*'Non-Residential TSM UC Adj'!J16</f>
        <v>9687.5686087994509</v>
      </c>
      <c r="K16" s="23">
        <f>'Sch DG-R Cust Fcst'!$D15*'Non-Residential TSM UC Adj'!K16</f>
        <v>3881.3806159244828</v>
      </c>
      <c r="L16" s="23">
        <f>'Sch DG-R Cust Fcst'!$D15*'Non-Residential TSM UC Adj'!L16</f>
        <v>865.67585029149416</v>
      </c>
      <c r="M16" s="45">
        <f>IF(SUM(J16:L16)=0,0,SUM(J16:L16)/'Sch DG-R Cust Fcst'!D15)</f>
        <v>14434.625075015429</v>
      </c>
      <c r="N16" s="137">
        <f>'Sch DG-R Cust Fcst'!$E15*'Non-Residential TSM UC Adj'!N16</f>
        <v>100886.55924082494</v>
      </c>
      <c r="O16" s="23">
        <f>'Sch DG-R Cust Fcst'!$E15*'Non-Residential TSM UC Adj'!O16</f>
        <v>21347.593387584657</v>
      </c>
      <c r="P16" s="23">
        <f>'Sch DG-R Cust Fcst'!$E15*'Non-Residential TSM UC Adj'!P16</f>
        <v>9522.4343532064358</v>
      </c>
      <c r="Q16" s="45">
        <f>IF(SUM(N16:P16)=0,0,SUM(N16:P16)/'Sch DG-R Cust Fcst'!E15)</f>
        <v>11977.871543783274</v>
      </c>
      <c r="R16" s="137">
        <f t="shared" si="1"/>
        <v>110574.12784962439</v>
      </c>
      <c r="S16" s="23">
        <f t="shared" si="2"/>
        <v>25228.974003509138</v>
      </c>
      <c r="T16" s="23">
        <f t="shared" si="3"/>
        <v>10388.11020349793</v>
      </c>
      <c r="U16" s="45">
        <f>IF(SUM(R16:T16)=0,0,SUM(R16:T16)/'Sch DG-R Cust Fcst'!F15)</f>
        <v>12182.601004719289</v>
      </c>
      <c r="V16" s="37">
        <f>'Sch DG-R Cust Fcst'!$G15*'Non-Residential TSM UC Adj'!R16</f>
        <v>0</v>
      </c>
      <c r="W16" s="37">
        <f>'Sch DG-R Cust Fcst'!$G15*'Non-Residential TSM UC Adj'!S16</f>
        <v>3129.9273129422195</v>
      </c>
      <c r="X16" s="37">
        <f>'Sch DG-R Cust Fcst'!$G15*'Non-Residential TSM UC Adj'!T16</f>
        <v>967.82163835260417</v>
      </c>
      <c r="Y16" s="45">
        <f>IF(SUM(V16:X16)=0,0,SUM(V16:X16)/'Sch DG-R Cust Fcst'!G15)</f>
        <v>4097.7489512948232</v>
      </c>
      <c r="Z16" s="23">
        <f t="shared" si="4"/>
        <v>110574.12784962439</v>
      </c>
      <c r="AA16" s="23">
        <f t="shared" si="0"/>
        <v>28358.901316451356</v>
      </c>
      <c r="AB16" s="23">
        <f t="shared" si="0"/>
        <v>11355.931841850535</v>
      </c>
      <c r="AC16" s="45">
        <f>IF(SUM(Z16:AB16)=0,0,SUM(Z16:AB16)/'Sch DG-R Cust Fcst'!H15)</f>
        <v>11560.689308302022</v>
      </c>
    </row>
    <row r="17" spans="1:29">
      <c r="A17" s="155" t="s">
        <v>121</v>
      </c>
      <c r="B17" s="137">
        <f>'Sch DG-R Cust Fcst'!$B16*'Non-Residential TSM UC Adj'!J17</f>
        <v>0</v>
      </c>
      <c r="C17" s="23">
        <f>'Sch DG-R Cust Fcst'!$B16*'Non-Residential TSM UC Adj'!K17</f>
        <v>0</v>
      </c>
      <c r="D17" s="23">
        <f>'Sch DG-R Cust Fcst'!$B16*'Non-Residential TSM UC Adj'!L17</f>
        <v>0</v>
      </c>
      <c r="E17" s="45">
        <f>IF(SUM(B17:D17)=0,0,SUM(B17:D17)/'Sch DG-R Cust Fcst'!B16)</f>
        <v>0</v>
      </c>
      <c r="F17" s="137">
        <f>'Sch DG-R Cust Fcst'!$C16*'Non-Residential TSM UC Adj'!F17</f>
        <v>0</v>
      </c>
      <c r="G17" s="23">
        <f>'Sch DG-R Cust Fcst'!$C16*'Non-Residential TSM UC Adj'!G17</f>
        <v>0</v>
      </c>
      <c r="H17" s="23">
        <f>'Sch DG-R Cust Fcst'!$C16*'Non-Residential TSM UC Adj'!H17</f>
        <v>0</v>
      </c>
      <c r="I17" s="45">
        <f>IF(SUM(F17:H17)=0,0,SUM(F17:H17)/'Sch DG-R Cust Fcst'!C16)</f>
        <v>0</v>
      </c>
      <c r="J17" s="137">
        <f>'Sch DG-R Cust Fcst'!$D16*'Non-Residential TSM UC Adj'!J17</f>
        <v>29062.705826398353</v>
      </c>
      <c r="K17" s="23">
        <f>'Sch DG-R Cust Fcst'!$D16*'Non-Residential TSM UC Adj'!K17</f>
        <v>11644.141847773448</v>
      </c>
      <c r="L17" s="23">
        <f>'Sch DG-R Cust Fcst'!$D16*'Non-Residential TSM UC Adj'!L17</f>
        <v>2597.0275508744826</v>
      </c>
      <c r="M17" s="45">
        <f>IF(SUM(J17:L17)=0,0,SUM(J17:L17)/'Sch DG-R Cust Fcst'!D16)</f>
        <v>14434.625075015429</v>
      </c>
      <c r="N17" s="137">
        <f>'Sch DG-R Cust Fcst'!$E16*'Non-Residential TSM UC Adj'!N17</f>
        <v>100886.55924082494</v>
      </c>
      <c r="O17" s="23">
        <f>'Sch DG-R Cust Fcst'!$E16*'Non-Residential TSM UC Adj'!O17</f>
        <v>21347.593387584657</v>
      </c>
      <c r="P17" s="23">
        <f>'Sch DG-R Cust Fcst'!$E16*'Non-Residential TSM UC Adj'!P17</f>
        <v>9522.4343532064358</v>
      </c>
      <c r="Q17" s="45">
        <f>IF(SUM(N17:P17)=0,0,SUM(N17:P17)/'Sch DG-R Cust Fcst'!E16)</f>
        <v>11977.871543783274</v>
      </c>
      <c r="R17" s="137">
        <f t="shared" si="1"/>
        <v>129949.26506722328</v>
      </c>
      <c r="S17" s="23">
        <f t="shared" si="2"/>
        <v>32991.735235358108</v>
      </c>
      <c r="T17" s="23">
        <f t="shared" si="3"/>
        <v>12119.461904080919</v>
      </c>
      <c r="U17" s="45">
        <f>IF(SUM(R17:T17)=0,0,SUM(R17:T17)/'Sch DG-R Cust Fcst'!F16)</f>
        <v>12504.318729047311</v>
      </c>
      <c r="V17" s="37">
        <f>'Sch DG-R Cust Fcst'!$G16*'Non-Residential TSM UC Adj'!R17</f>
        <v>0</v>
      </c>
      <c r="W17" s="37">
        <f>'Sch DG-R Cust Fcst'!$G16*'Non-Residential TSM UC Adj'!S17</f>
        <v>0</v>
      </c>
      <c r="X17" s="37">
        <f>'Sch DG-R Cust Fcst'!$G16*'Non-Residential TSM UC Adj'!T17</f>
        <v>0</v>
      </c>
      <c r="Y17" s="45">
        <f>IF(SUM(V17:X17)=0,0,SUM(V17:X17)/'Sch DG-R Cust Fcst'!G16)</f>
        <v>0</v>
      </c>
      <c r="Z17" s="23">
        <f t="shared" si="4"/>
        <v>129949.26506722328</v>
      </c>
      <c r="AA17" s="23">
        <f t="shared" si="0"/>
        <v>32991.735235358108</v>
      </c>
      <c r="AB17" s="23">
        <f t="shared" si="0"/>
        <v>12119.461904080919</v>
      </c>
      <c r="AC17" s="45">
        <f>IF(SUM(Z17:AB17)=0,0,SUM(Z17:AB17)/'Sch DG-R Cust Fcst'!H16)</f>
        <v>12504.318729047311</v>
      </c>
    </row>
    <row r="18" spans="1:29">
      <c r="A18" s="155" t="s">
        <v>12</v>
      </c>
      <c r="B18" s="137">
        <f>'Sch DG-R Cust Fcst'!$B17*'Non-Residential TSM UC Adj'!J18</f>
        <v>0</v>
      </c>
      <c r="C18" s="23">
        <f>'Sch DG-R Cust Fcst'!$B17*'Non-Residential TSM UC Adj'!K18</f>
        <v>0</v>
      </c>
      <c r="D18" s="23">
        <f>'Sch DG-R Cust Fcst'!$B17*'Non-Residential TSM UC Adj'!L18</f>
        <v>0</v>
      </c>
      <c r="E18" s="45">
        <f>IF(SUM(B18:D18)=0,0,SUM(B18:D18)/'Sch DG-R Cust Fcst'!B17)</f>
        <v>0</v>
      </c>
      <c r="F18" s="137">
        <f>'Sch DG-R Cust Fcst'!$C17*'Non-Residential TSM UC Adj'!J18</f>
        <v>0</v>
      </c>
      <c r="G18" s="23">
        <f>'Sch DG-R Cust Fcst'!$C17*'Non-Residential TSM UC Adj'!K18</f>
        <v>0</v>
      </c>
      <c r="H18" s="23">
        <f>'Sch DG-R Cust Fcst'!$C17*'Non-Residential TSM UC Adj'!L18</f>
        <v>0</v>
      </c>
      <c r="I18" s="45">
        <f>IF(SUM(F18:H18)=0,0,SUM(F18:H18)/'Sch DG-R Cust Fcst'!C17)</f>
        <v>0</v>
      </c>
      <c r="J18" s="137">
        <f>'Sch DG-R Cust Fcst'!$D17*'Non-Residential TSM UC Adj'!J18</f>
        <v>0</v>
      </c>
      <c r="K18" s="23">
        <f>'Sch DG-R Cust Fcst'!$D17*'Non-Residential TSM UC Adj'!K18</f>
        <v>0</v>
      </c>
      <c r="L18" s="23">
        <f>'Sch DG-R Cust Fcst'!$D17*'Non-Residential TSM UC Adj'!L18</f>
        <v>0</v>
      </c>
      <c r="M18" s="45">
        <f>IF(SUM(J18:L18)=0,0,SUM(J18:L18)/'Sch DG-R Cust Fcst'!D17)</f>
        <v>0</v>
      </c>
      <c r="N18" s="137">
        <f>'Sch DG-R Cust Fcst'!$E17*'Non-Residential TSM UC Adj'!N18</f>
        <v>238459.14002376801</v>
      </c>
      <c r="O18" s="23">
        <f>'Sch DG-R Cust Fcst'!$E17*'Non-Residential TSM UC Adj'!O18</f>
        <v>41160.483066153764</v>
      </c>
      <c r="P18" s="23">
        <f>'Sch DG-R Cust Fcst'!$E17*'Non-Residential TSM UC Adj'!P18</f>
        <v>11253.786053789425</v>
      </c>
      <c r="Q18" s="45">
        <f>IF(SUM(N18:P18)=0,0,SUM(N18:P18)/'Sch DG-R Cust Fcst'!E17)</f>
        <v>22374.877626439324</v>
      </c>
      <c r="R18" s="137">
        <f t="shared" si="1"/>
        <v>238459.14002376801</v>
      </c>
      <c r="S18" s="23">
        <f t="shared" si="2"/>
        <v>41160.483066153764</v>
      </c>
      <c r="T18" s="23">
        <f t="shared" si="3"/>
        <v>11253.786053789425</v>
      </c>
      <c r="U18" s="45">
        <f>IF(SUM(R18:T18)=0,0,SUM(R18:T18)/'Sch DG-R Cust Fcst'!F17)</f>
        <v>22374.877626439324</v>
      </c>
      <c r="V18" s="37">
        <f>'Sch DG-R Cust Fcst'!$G17*'Non-Residential TSM UC Adj'!R18</f>
        <v>0</v>
      </c>
      <c r="W18" s="37">
        <f>'Sch DG-R Cust Fcst'!$G17*'Non-Residential TSM UC Adj'!S18</f>
        <v>0</v>
      </c>
      <c r="X18" s="37">
        <f>'Sch DG-R Cust Fcst'!$G17*'Non-Residential TSM UC Adj'!T18</f>
        <v>0</v>
      </c>
      <c r="Y18" s="45">
        <f>IF(SUM(V18:X18)=0,0,SUM(V18:X18)/'Sch DG-R Cust Fcst'!G17)</f>
        <v>0</v>
      </c>
      <c r="Z18" s="23">
        <f t="shared" si="4"/>
        <v>238459.14002376801</v>
      </c>
      <c r="AA18" s="23">
        <f t="shared" si="0"/>
        <v>41160.483066153764</v>
      </c>
      <c r="AB18" s="23">
        <f t="shared" si="0"/>
        <v>11253.786053789425</v>
      </c>
      <c r="AC18" s="45">
        <f>IF(SUM(Z18:AB18)=0,0,SUM(Z18:AB18)/'Sch DG-R Cust Fcst'!H17)</f>
        <v>22374.877626439324</v>
      </c>
    </row>
    <row r="19" spans="1:29">
      <c r="A19" s="155" t="s">
        <v>13</v>
      </c>
      <c r="B19" s="137">
        <f>'Sch DG-R Cust Fcst'!$B18*'Non-Residential TSM UC Adj'!J19</f>
        <v>0</v>
      </c>
      <c r="C19" s="23">
        <f>'Sch DG-R Cust Fcst'!$B18*'Non-Residential TSM UC Adj'!K19</f>
        <v>0</v>
      </c>
      <c r="D19" s="23">
        <f>'Sch DG-R Cust Fcst'!$B18*'Non-Residential TSM UC Adj'!L19</f>
        <v>0</v>
      </c>
      <c r="E19" s="45">
        <f>IF(SUM(B19:D19)=0,0,SUM(B19:D19)/'Sch DG-R Cust Fcst'!B18)</f>
        <v>0</v>
      </c>
      <c r="F19" s="137">
        <f>'Sch DG-R Cust Fcst'!$C18*'Non-Residential TSM UC Adj'!J19</f>
        <v>0</v>
      </c>
      <c r="G19" s="23">
        <f>'Sch DG-R Cust Fcst'!$C18*'Non-Residential TSM UC Adj'!K19</f>
        <v>0</v>
      </c>
      <c r="H19" s="23">
        <f>'Sch DG-R Cust Fcst'!$C18*'Non-Residential TSM UC Adj'!L19</f>
        <v>0</v>
      </c>
      <c r="I19" s="45">
        <f>IF(SUM(F19:H19)=0,0,SUM(F19:H19)/'Sch DG-R Cust Fcst'!C18)</f>
        <v>0</v>
      </c>
      <c r="J19" s="137">
        <f>'Sch DG-R Cust Fcst'!$D18*'Non-Residential TSM UC Adj'!J19</f>
        <v>0</v>
      </c>
      <c r="K19" s="23">
        <f>'Sch DG-R Cust Fcst'!$D18*'Non-Residential TSM UC Adj'!K19</f>
        <v>0</v>
      </c>
      <c r="L19" s="23">
        <f>'Sch DG-R Cust Fcst'!$D18*'Non-Residential TSM UC Adj'!L19</f>
        <v>0</v>
      </c>
      <c r="M19" s="45">
        <f>IF(SUM(J19:L19)=0,0,SUM(J19:L19)/'Sch DG-R Cust Fcst'!D18)</f>
        <v>0</v>
      </c>
      <c r="N19" s="137">
        <f>'Sch DG-R Cust Fcst'!$E18*'Non-Residential TSM UC Adj'!N19</f>
        <v>49625.404155968339</v>
      </c>
      <c r="O19" s="23">
        <f>'Sch DG-R Cust Fcst'!$E18*'Non-Residential TSM UC Adj'!O19</f>
        <v>15525.522463697931</v>
      </c>
      <c r="P19" s="23">
        <f>'Sch DG-R Cust Fcst'!$E18*'Non-Residential TSM UC Adj'!P19</f>
        <v>3462.7034011659766</v>
      </c>
      <c r="Q19" s="45">
        <f>IF(SUM(N19:P19)=0,0,SUM(N19:P19)/'Sch DG-R Cust Fcst'!E18)</f>
        <v>17153.407505208063</v>
      </c>
      <c r="R19" s="137">
        <f t="shared" si="1"/>
        <v>49625.404155968339</v>
      </c>
      <c r="S19" s="23">
        <f t="shared" si="2"/>
        <v>15525.522463697931</v>
      </c>
      <c r="T19" s="23">
        <f t="shared" si="3"/>
        <v>3462.7034011659766</v>
      </c>
      <c r="U19" s="45">
        <f>IF(SUM(R19:T19)=0,0,SUM(R19:T19)/'Sch DG-R Cust Fcst'!F18)</f>
        <v>17153.407505208063</v>
      </c>
      <c r="V19" s="37">
        <f>'Sch DG-R Cust Fcst'!$G18*'Non-Residential TSM UC Adj'!R19</f>
        <v>0</v>
      </c>
      <c r="W19" s="37">
        <f>'Sch DG-R Cust Fcst'!$G18*'Non-Residential TSM UC Adj'!S19</f>
        <v>3129.9273129422195</v>
      </c>
      <c r="X19" s="37">
        <f>'Sch DG-R Cust Fcst'!$G18*'Non-Residential TSM UC Adj'!T19</f>
        <v>967.82163835260417</v>
      </c>
      <c r="Y19" s="45">
        <f>IF(SUM(V19:X19)=0,0,SUM(V19:X19)/'Sch DG-R Cust Fcst'!G18)</f>
        <v>4097.7489512948232</v>
      </c>
      <c r="Z19" s="23">
        <f t="shared" si="4"/>
        <v>49625.404155968339</v>
      </c>
      <c r="AA19" s="23">
        <f t="shared" si="0"/>
        <v>18655.449776640151</v>
      </c>
      <c r="AB19" s="23">
        <f t="shared" si="0"/>
        <v>4430.5250395185813</v>
      </c>
      <c r="AC19" s="45">
        <f>IF(SUM(Z19:AB19)=0,0,SUM(Z19:AB19)/'Sch DG-R Cust Fcst'!H18)</f>
        <v>14542.275794425415</v>
      </c>
    </row>
    <row r="20" spans="1:29">
      <c r="A20" s="155" t="s">
        <v>122</v>
      </c>
      <c r="B20" s="137">
        <f>'Sch DG-R Cust Fcst'!$B19*'Non-Residential TSM UC Adj'!J20</f>
        <v>0</v>
      </c>
      <c r="C20" s="23">
        <f>'Sch DG-R Cust Fcst'!$B19*'Non-Residential TSM UC Adj'!K20</f>
        <v>0</v>
      </c>
      <c r="D20" s="23">
        <f>'Sch DG-R Cust Fcst'!$B19*'Non-Residential TSM UC Adj'!L20</f>
        <v>0</v>
      </c>
      <c r="E20" s="45">
        <f>IF(SUM(B20:D20)=0,0,SUM(B20:D20)/'Sch DG-R Cust Fcst'!B19)</f>
        <v>0</v>
      </c>
      <c r="F20" s="137">
        <f>'Sch DG-R Cust Fcst'!$C19*'Non-Residential TSM UC Adj'!J20</f>
        <v>0</v>
      </c>
      <c r="G20" s="23">
        <f>'Sch DG-R Cust Fcst'!$C19*'Non-Residential TSM UC Adj'!K20</f>
        <v>0</v>
      </c>
      <c r="H20" s="23">
        <f>'Sch DG-R Cust Fcst'!$C19*'Non-Residential TSM UC Adj'!L20</f>
        <v>0</v>
      </c>
      <c r="I20" s="45">
        <f>IF(SUM(F20:H20)=0,0,SUM(F20:H20)/'Sch DG-R Cust Fcst'!C19)</f>
        <v>0</v>
      </c>
      <c r="J20" s="137">
        <f>'Sch DG-R Cust Fcst'!$D19*'Non-Residential TSM UC Adj'!J20</f>
        <v>0</v>
      </c>
      <c r="K20" s="23">
        <f>'Sch DG-R Cust Fcst'!$D19*'Non-Residential TSM UC Adj'!K20</f>
        <v>0</v>
      </c>
      <c r="L20" s="23">
        <f>'Sch DG-R Cust Fcst'!$D19*'Non-Residential TSM UC Adj'!L20</f>
        <v>0</v>
      </c>
      <c r="M20" s="45">
        <f>IF(SUM(J20:L20)=0,0,SUM(J20:L20)/'Sch DG-R Cust Fcst'!D19)</f>
        <v>0</v>
      </c>
      <c r="N20" s="137">
        <f>'Sch DG-R Cust Fcst'!$E19*'Non-Residential TSM UC Adj'!N20</f>
        <v>14168.457286169785</v>
      </c>
      <c r="O20" s="23">
        <f>'Sch DG-R Cust Fcst'!$E19*'Non-Residential TSM UC Adj'!O20</f>
        <v>3881.3806159244828</v>
      </c>
      <c r="P20" s="23">
        <f>'Sch DG-R Cust Fcst'!$E19*'Non-Residential TSM UC Adj'!P20</f>
        <v>865.67585029149416</v>
      </c>
      <c r="Q20" s="45">
        <f>IF(SUM(N20:P20)=0,0,SUM(N20:P20)/'Sch DG-R Cust Fcst'!E19)</f>
        <v>18915.513752385759</v>
      </c>
      <c r="R20" s="137">
        <f t="shared" si="1"/>
        <v>14168.457286169785</v>
      </c>
      <c r="S20" s="23">
        <f t="shared" si="2"/>
        <v>3881.3806159244828</v>
      </c>
      <c r="T20" s="23">
        <f t="shared" si="3"/>
        <v>865.67585029149416</v>
      </c>
      <c r="U20" s="45">
        <f>IF(SUM(R20:T20)=0,0,SUM(R20:T20)/'Sch DG-R Cust Fcst'!F19)</f>
        <v>18915.513752385759</v>
      </c>
      <c r="V20" s="37">
        <f>'Sch DG-R Cust Fcst'!$G19*'Non-Residential TSM UC Adj'!R20</f>
        <v>0</v>
      </c>
      <c r="W20" s="37">
        <f>'Sch DG-R Cust Fcst'!$G19*'Non-Residential TSM UC Adj'!S20</f>
        <v>0</v>
      </c>
      <c r="X20" s="37">
        <f>'Sch DG-R Cust Fcst'!$G19*'Non-Residential TSM UC Adj'!T20</f>
        <v>0</v>
      </c>
      <c r="Y20" s="45">
        <f>IF(SUM(V20:X20)=0,0,SUM(V20:X20)/'Sch DG-R Cust Fcst'!G19)</f>
        <v>0</v>
      </c>
      <c r="Z20" s="23">
        <f t="shared" si="4"/>
        <v>14168.457286169785</v>
      </c>
      <c r="AA20" s="23">
        <f t="shared" si="0"/>
        <v>3881.3806159244828</v>
      </c>
      <c r="AB20" s="23">
        <f t="shared" si="0"/>
        <v>865.67585029149416</v>
      </c>
      <c r="AC20" s="45">
        <f>IF(SUM(Z20:AB20)=0,0,SUM(Z20:AB20)/'Sch DG-R Cust Fcst'!H19)</f>
        <v>18915.513752385759</v>
      </c>
    </row>
    <row r="21" spans="1:29">
      <c r="A21" s="155" t="s">
        <v>123</v>
      </c>
      <c r="B21" s="137">
        <f>'Sch DG-R Cust Fcst'!$B20*'Non-Residential TSM UC Adj'!J21</f>
        <v>0</v>
      </c>
      <c r="C21" s="23">
        <f>'Sch DG-R Cust Fcst'!$B20*'Non-Residential TSM UC Adj'!K21</f>
        <v>0</v>
      </c>
      <c r="D21" s="23">
        <f>'Sch DG-R Cust Fcst'!$B20*'Non-Residential TSM UC Adj'!L21</f>
        <v>0</v>
      </c>
      <c r="E21" s="45">
        <f>IF(SUM(B21:D21)=0,0,SUM(B21:D21)/'Sch DG-R Cust Fcst'!B20)</f>
        <v>0</v>
      </c>
      <c r="F21" s="137">
        <f>'Sch DG-R Cust Fcst'!$C20*'Non-Residential TSM UC Adj'!J21</f>
        <v>0</v>
      </c>
      <c r="G21" s="23">
        <f>'Sch DG-R Cust Fcst'!$C20*'Non-Residential TSM UC Adj'!K21</f>
        <v>0</v>
      </c>
      <c r="H21" s="23">
        <f>'Sch DG-R Cust Fcst'!$C20*'Non-Residential TSM UC Adj'!L21</f>
        <v>0</v>
      </c>
      <c r="I21" s="45">
        <f>IF(SUM(F21:H21)=0,0,SUM(F21:H21)/'Sch DG-R Cust Fcst'!C20)</f>
        <v>0</v>
      </c>
      <c r="J21" s="137">
        <f>'Sch DG-R Cust Fcst'!$D20*'Non-Residential TSM UC Adj'!J21</f>
        <v>0</v>
      </c>
      <c r="K21" s="23">
        <f>'Sch DG-R Cust Fcst'!$D20*'Non-Residential TSM UC Adj'!K21</f>
        <v>0</v>
      </c>
      <c r="L21" s="23">
        <f>'Sch DG-R Cust Fcst'!$D20*'Non-Residential TSM UC Adj'!L21</f>
        <v>0</v>
      </c>
      <c r="M21" s="45">
        <f>IF(SUM(J21:L21)=0,0,SUM(J21:L21)/'Sch DG-R Cust Fcst'!D20)</f>
        <v>0</v>
      </c>
      <c r="N21" s="137">
        <f>'Sch DG-R Cust Fcst'!$E20*'Non-Residential TSM UC Adj'!N21</f>
        <v>14168.457286169785</v>
      </c>
      <c r="O21" s="23">
        <f>'Sch DG-R Cust Fcst'!$E20*'Non-Residential TSM UC Adj'!O21</f>
        <v>3881.3806159244828</v>
      </c>
      <c r="P21" s="23">
        <f>'Sch DG-R Cust Fcst'!$E20*'Non-Residential TSM UC Adj'!P21</f>
        <v>865.67585029149416</v>
      </c>
      <c r="Q21" s="45">
        <f>IF(SUM(N21:P21)=0,0,SUM(N21:P21)/'Sch DG-R Cust Fcst'!E20)</f>
        <v>18915.513752385759</v>
      </c>
      <c r="R21" s="137">
        <f t="shared" si="1"/>
        <v>14168.457286169785</v>
      </c>
      <c r="S21" s="23">
        <f t="shared" si="2"/>
        <v>3881.3806159244828</v>
      </c>
      <c r="T21" s="23">
        <f t="shared" si="3"/>
        <v>865.67585029149416</v>
      </c>
      <c r="U21" s="45">
        <f>IF(SUM(R21:T21)=0,0,SUM(R21:T21)/'Sch DG-R Cust Fcst'!F20)</f>
        <v>18915.513752385759</v>
      </c>
      <c r="V21" s="37">
        <f>'Sch DG-R Cust Fcst'!$G20*'Non-Residential TSM UC Adj'!R21</f>
        <v>0</v>
      </c>
      <c r="W21" s="37">
        <f>'Sch DG-R Cust Fcst'!$G20*'Non-Residential TSM UC Adj'!S21</f>
        <v>0</v>
      </c>
      <c r="X21" s="37">
        <f>'Sch DG-R Cust Fcst'!$G20*'Non-Residential TSM UC Adj'!T21</f>
        <v>0</v>
      </c>
      <c r="Y21" s="45">
        <f>IF(SUM(V21:X21)=0,0,SUM(V21:X21)/'Sch DG-R Cust Fcst'!G20)</f>
        <v>0</v>
      </c>
      <c r="Z21" s="23">
        <f t="shared" si="4"/>
        <v>14168.457286169785</v>
      </c>
      <c r="AA21" s="23">
        <f t="shared" si="0"/>
        <v>3881.3806159244828</v>
      </c>
      <c r="AB21" s="23">
        <f t="shared" si="0"/>
        <v>865.67585029149416</v>
      </c>
      <c r="AC21" s="45">
        <f>IF(SUM(Z21:AB21)=0,0,SUM(Z21:AB21)/'Sch DG-R Cust Fcst'!H20)</f>
        <v>18915.513752385759</v>
      </c>
    </row>
    <row r="22" spans="1:29">
      <c r="A22" s="153" t="s">
        <v>14</v>
      </c>
      <c r="B22" s="137">
        <f>'Sch DG-R Cust Fcst'!$B21*'Non-Residential TSM UC Adj'!J22</f>
        <v>0</v>
      </c>
      <c r="C22" s="23">
        <f>'Sch DG-R Cust Fcst'!$B21*'Non-Residential TSM UC Adj'!K22</f>
        <v>0</v>
      </c>
      <c r="D22" s="23">
        <f>'Sch DG-R Cust Fcst'!$B21*'Non-Residential TSM UC Adj'!L22</f>
        <v>0</v>
      </c>
      <c r="E22" s="45">
        <f>IF(SUM(B22:D22)=0,0,SUM(B22:D22)/'Sch DG-R Cust Fcst'!B21)</f>
        <v>0</v>
      </c>
      <c r="F22" s="137">
        <f>'Sch DG-R Cust Fcst'!$C21*'Non-Residential TSM UC Adj'!J22</f>
        <v>0</v>
      </c>
      <c r="G22" s="23">
        <f>'Sch DG-R Cust Fcst'!$C21*'Non-Residential TSM UC Adj'!K22</f>
        <v>0</v>
      </c>
      <c r="H22" s="23">
        <f>'Sch DG-R Cust Fcst'!$C21*'Non-Residential TSM UC Adj'!L22</f>
        <v>0</v>
      </c>
      <c r="I22" s="45">
        <f>IF(SUM(F22:H22)=0,0,SUM(F22:H22)/'Sch DG-R Cust Fcst'!C21)</f>
        <v>0</v>
      </c>
      <c r="J22" s="137">
        <f>'Sch DG-R Cust Fcst'!$D21*'Non-Residential TSM UC Adj'!J22</f>
        <v>0</v>
      </c>
      <c r="K22" s="23">
        <f>'Sch DG-R Cust Fcst'!$D21*'Non-Residential TSM UC Adj'!K22</f>
        <v>0</v>
      </c>
      <c r="L22" s="23">
        <f>'Sch DG-R Cust Fcst'!$D21*'Non-Residential TSM UC Adj'!L22</f>
        <v>0</v>
      </c>
      <c r="M22" s="45">
        <f>IF(SUM(J22:L22)=0,0,SUM(J22:L22)/'Sch DG-R Cust Fcst'!D21)</f>
        <v>0</v>
      </c>
      <c r="N22" s="137">
        <f>'Sch DG-R Cust Fcst'!$E21*'Non-Residential TSM UC Adj'!N22</f>
        <v>56673.829144679141</v>
      </c>
      <c r="O22" s="23">
        <f>'Sch DG-R Cust Fcst'!$E21*'Non-Residential TSM UC Adj'!O22</f>
        <v>12664.764020355004</v>
      </c>
      <c r="P22" s="23">
        <f>'Sch DG-R Cust Fcst'!$E21*'Non-Residential TSM UC Adj'!P22</f>
        <v>1731.3517005829883</v>
      </c>
      <c r="Q22" s="45">
        <f>IF(SUM(N22:P22)=0,0,SUM(N22:P22)/'Sch DG-R Cust Fcst'!E21)</f>
        <v>35534.972432808565</v>
      </c>
      <c r="R22" s="137">
        <f t="shared" si="1"/>
        <v>56673.829144679141</v>
      </c>
      <c r="S22" s="23">
        <f t="shared" si="2"/>
        <v>12664.764020355004</v>
      </c>
      <c r="T22" s="23">
        <f t="shared" si="3"/>
        <v>1731.3517005829883</v>
      </c>
      <c r="U22" s="45">
        <f>IF(SUM(R22:T22)=0,0,SUM(R22:T22)/'Sch DG-R Cust Fcst'!F21)</f>
        <v>35534.972432808565</v>
      </c>
      <c r="V22" s="37">
        <f>'Sch DG-R Cust Fcst'!$G21*'Non-Residential TSM UC Adj'!R22</f>
        <v>0</v>
      </c>
      <c r="W22" s="37">
        <f>'Sch DG-R Cust Fcst'!$G21*'Non-Residential TSM UC Adj'!S22</f>
        <v>0</v>
      </c>
      <c r="X22" s="37">
        <f>'Sch DG-R Cust Fcst'!$G21*'Non-Residential TSM UC Adj'!T22</f>
        <v>0</v>
      </c>
      <c r="Y22" s="45">
        <f>IF(SUM(V22:X22)=0,0,SUM(V22:X22)/'Sch DG-R Cust Fcst'!G21)</f>
        <v>0</v>
      </c>
      <c r="Z22" s="23">
        <f t="shared" si="4"/>
        <v>56673.829144679141</v>
      </c>
      <c r="AA22" s="23">
        <f t="shared" si="0"/>
        <v>12664.764020355004</v>
      </c>
      <c r="AB22" s="23">
        <f t="shared" si="0"/>
        <v>1731.3517005829883</v>
      </c>
      <c r="AC22" s="45">
        <f>IF(SUM(Z22:AB22)=0,0,SUM(Z22:AB22)/'Sch DG-R Cust Fcst'!H21)</f>
        <v>35534.972432808565</v>
      </c>
    </row>
    <row r="23" spans="1:29">
      <c r="A23" s="155" t="s">
        <v>15</v>
      </c>
      <c r="B23" s="137">
        <f>'Sch DG-R Cust Fcst'!$B22*'Non-Residential TSM UC Adj'!J23</f>
        <v>0</v>
      </c>
      <c r="C23" s="23">
        <f>'Sch DG-R Cust Fcst'!$B22*'Non-Residential TSM UC Adj'!K23</f>
        <v>0</v>
      </c>
      <c r="D23" s="23">
        <f>'Sch DG-R Cust Fcst'!$B22*'Non-Residential TSM UC Adj'!L23</f>
        <v>0</v>
      </c>
      <c r="E23" s="45">
        <f>IF(SUM(B23:D23)=0,0,SUM(B23:D23)/'Sch DG-R Cust Fcst'!B22)</f>
        <v>0</v>
      </c>
      <c r="F23" s="137">
        <f>'Sch DG-R Cust Fcst'!$C22*'Non-Residential TSM UC Adj'!J23</f>
        <v>0</v>
      </c>
      <c r="G23" s="23">
        <f>'Sch DG-R Cust Fcst'!$C22*'Non-Residential TSM UC Adj'!K23</f>
        <v>0</v>
      </c>
      <c r="H23" s="23">
        <f>'Sch DG-R Cust Fcst'!$C22*'Non-Residential TSM UC Adj'!L23</f>
        <v>0</v>
      </c>
      <c r="I23" s="45">
        <f>IF(SUM(F23:H23)=0,0,SUM(F23:H23)/'Sch DG-R Cust Fcst'!C22)</f>
        <v>0</v>
      </c>
      <c r="J23" s="137">
        <f>'Sch DG-R Cust Fcst'!$D22*'Non-Residential TSM UC Adj'!J23</f>
        <v>0</v>
      </c>
      <c r="K23" s="23">
        <f>'Sch DG-R Cust Fcst'!$D22*'Non-Residential TSM UC Adj'!K23</f>
        <v>0</v>
      </c>
      <c r="L23" s="23">
        <f>'Sch DG-R Cust Fcst'!$D22*'Non-Residential TSM UC Adj'!L23</f>
        <v>0</v>
      </c>
      <c r="M23" s="45">
        <f>IF(SUM(J23:L23)=0,0,SUM(J23:L23)/'Sch DG-R Cust Fcst'!D22)</f>
        <v>0</v>
      </c>
      <c r="N23" s="137">
        <f>'Sch DG-R Cust Fcst'!$E22*'Non-Residential TSM UC Adj'!N23</f>
        <v>137412.06340399492</v>
      </c>
      <c r="O23" s="23">
        <f>'Sch DG-R Cust Fcst'!$E22*'Non-Residential TSM UC Adj'!O23</f>
        <v>25329.528040710007</v>
      </c>
      <c r="P23" s="23">
        <f>'Sch DG-R Cust Fcst'!$E22*'Non-Residential TSM UC Adj'!P23</f>
        <v>3462.7034011659766</v>
      </c>
      <c r="Q23" s="45">
        <f>IF(SUM(N23:P23)=0,0,SUM(N23:P23)/'Sch DG-R Cust Fcst'!E22)</f>
        <v>41551.073711467725</v>
      </c>
      <c r="R23" s="137">
        <f t="shared" si="1"/>
        <v>137412.06340399492</v>
      </c>
      <c r="S23" s="23">
        <f t="shared" si="2"/>
        <v>25329.528040710007</v>
      </c>
      <c r="T23" s="23">
        <f t="shared" si="3"/>
        <v>3462.7034011659766</v>
      </c>
      <c r="U23" s="45">
        <f>IF(SUM(R23:T23)=0,0,SUM(R23:T23)/'Sch DG-R Cust Fcst'!F22)</f>
        <v>41551.073711467725</v>
      </c>
      <c r="V23" s="37">
        <f>'Sch DG-R Cust Fcst'!$G22*'Non-Residential TSM UC Adj'!R23</f>
        <v>0</v>
      </c>
      <c r="W23" s="37">
        <f>'Sch DG-R Cust Fcst'!$G22*'Non-Residential TSM UC Adj'!S23</f>
        <v>3129.9273129422195</v>
      </c>
      <c r="X23" s="37">
        <f>'Sch DG-R Cust Fcst'!$G22*'Non-Residential TSM UC Adj'!T23</f>
        <v>967.82163835260417</v>
      </c>
      <c r="Y23" s="45">
        <f>IF(SUM(V23:X23)=0,0,SUM(V23:X23)/'Sch DG-R Cust Fcst'!G22)</f>
        <v>4097.7489512948232</v>
      </c>
      <c r="Z23" s="23">
        <f t="shared" si="4"/>
        <v>137412.06340399492</v>
      </c>
      <c r="AA23" s="23">
        <f t="shared" si="4"/>
        <v>28459.455353652225</v>
      </c>
      <c r="AB23" s="23">
        <f t="shared" si="4"/>
        <v>4430.5250395185813</v>
      </c>
      <c r="AC23" s="45">
        <f>IF(SUM(Z23:AB23)=0,0,SUM(Z23:AB23)/'Sch DG-R Cust Fcst'!H22)</f>
        <v>34060.408759433143</v>
      </c>
    </row>
    <row r="24" spans="1:29">
      <c r="A24" s="155" t="s">
        <v>16</v>
      </c>
      <c r="B24" s="137">
        <f>'Sch DG-R Cust Fcst'!$B23*'Non-Residential TSM UC Adj'!J24</f>
        <v>0</v>
      </c>
      <c r="C24" s="23">
        <f>'Sch DG-R Cust Fcst'!$B23*'Non-Residential TSM UC Adj'!K24</f>
        <v>0</v>
      </c>
      <c r="D24" s="23">
        <f>'Sch DG-R Cust Fcst'!$B23*'Non-Residential TSM UC Adj'!L24</f>
        <v>0</v>
      </c>
      <c r="E24" s="45">
        <f>IF(SUM(B24:D24)=0,0,SUM(B24:D24)/'Sch DG-R Cust Fcst'!B23)</f>
        <v>0</v>
      </c>
      <c r="F24" s="137">
        <f>'Sch DG-R Cust Fcst'!$C23*'Non-Residential TSM UC Adj'!J24</f>
        <v>0</v>
      </c>
      <c r="G24" s="23">
        <f>'Sch DG-R Cust Fcst'!$C23*'Non-Residential TSM UC Adj'!K24</f>
        <v>0</v>
      </c>
      <c r="H24" s="23">
        <f>'Sch DG-R Cust Fcst'!$C23*'Non-Residential TSM UC Adj'!L24</f>
        <v>0</v>
      </c>
      <c r="I24" s="45">
        <f>IF(SUM(F24:H24)=0,0,SUM(F24:H24)/'Sch DG-R Cust Fcst'!C23)</f>
        <v>0</v>
      </c>
      <c r="J24" s="137">
        <f>'Sch DG-R Cust Fcst'!$D23*'Non-Residential TSM UC Adj'!J24</f>
        <v>0</v>
      </c>
      <c r="K24" s="23">
        <f>'Sch DG-R Cust Fcst'!$D23*'Non-Residential TSM UC Adj'!K24</f>
        <v>0</v>
      </c>
      <c r="L24" s="23">
        <f>'Sch DG-R Cust Fcst'!$D23*'Non-Residential TSM UC Adj'!L24</f>
        <v>0</v>
      </c>
      <c r="M24" s="45">
        <f>IF(SUM(J24:L24)=0,0,SUM(J24:L24)/'Sch DG-R Cust Fcst'!D23)</f>
        <v>0</v>
      </c>
      <c r="N24" s="137">
        <f>'Sch DG-R Cust Fcst'!$E23*'Non-Residential TSM UC Adj'!N24</f>
        <v>0</v>
      </c>
      <c r="O24" s="23">
        <f>'Sch DG-R Cust Fcst'!$E23*'Non-Residential TSM UC Adj'!O24</f>
        <v>0</v>
      </c>
      <c r="P24" s="23">
        <f>'Sch DG-R Cust Fcst'!$E23*'Non-Residential TSM UC Adj'!P24</f>
        <v>0</v>
      </c>
      <c r="Q24" s="45">
        <f>IF(SUM(N24:P24)=0,0,SUM(N24:P24)/'Sch DG-R Cust Fcst'!E23)</f>
        <v>0</v>
      </c>
      <c r="R24" s="137">
        <f t="shared" si="1"/>
        <v>0</v>
      </c>
      <c r="S24" s="23">
        <f t="shared" si="2"/>
        <v>0</v>
      </c>
      <c r="T24" s="23">
        <f t="shared" si="3"/>
        <v>0</v>
      </c>
      <c r="U24" s="45">
        <f>IF(SUM(R24:T24)=0,0,SUM(R24:T24)/'Sch DG-R Cust Fcst'!F23)</f>
        <v>0</v>
      </c>
      <c r="V24" s="37">
        <f>'Sch DG-R Cust Fcst'!$G23*'Non-Residential TSM UC Adj'!R24</f>
        <v>0</v>
      </c>
      <c r="W24" s="37">
        <f>'Sch DG-R Cust Fcst'!$G23*'Non-Residential TSM UC Adj'!S24</f>
        <v>3129.9273129422195</v>
      </c>
      <c r="X24" s="37">
        <f>'Sch DG-R Cust Fcst'!$G23*'Non-Residential TSM UC Adj'!T24</f>
        <v>967.82163835260417</v>
      </c>
      <c r="Y24" s="45">
        <f>IF(SUM(V24:X24)=0,0,SUM(V24:X24)/'Sch DG-R Cust Fcst'!G23)</f>
        <v>4097.7489512948232</v>
      </c>
      <c r="Z24" s="23">
        <f t="shared" si="4"/>
        <v>0</v>
      </c>
      <c r="AA24" s="23">
        <f t="shared" si="4"/>
        <v>3129.9273129422195</v>
      </c>
      <c r="AB24" s="23">
        <f t="shared" si="4"/>
        <v>967.82163835260417</v>
      </c>
      <c r="AC24" s="45">
        <f>IF(SUM(Z24:AB24)=0,0,SUM(Z24:AB24)/'Sch DG-R Cust Fcst'!H23)</f>
        <v>4097.7489512948232</v>
      </c>
    </row>
    <row r="25" spans="1:29">
      <c r="A25" s="155" t="s">
        <v>17</v>
      </c>
      <c r="B25" s="137">
        <f>'Sch DG-R Cust Fcst'!$B24*'Non-Residential TSM UC Adj'!J25</f>
        <v>0</v>
      </c>
      <c r="C25" s="23">
        <f>'Sch DG-R Cust Fcst'!$B24*'Non-Residential TSM UC Adj'!K25</f>
        <v>0</v>
      </c>
      <c r="D25" s="23">
        <f>'Sch DG-R Cust Fcst'!$B24*'Non-Residential TSM UC Adj'!L25</f>
        <v>0</v>
      </c>
      <c r="E25" s="45">
        <f>IF(SUM(B25:D25)=0,0,SUM(B25:D25)/'Sch DG-R Cust Fcst'!B24)</f>
        <v>0</v>
      </c>
      <c r="F25" s="137">
        <f>'Sch DG-R Cust Fcst'!$C24*'Non-Residential TSM UC Adj'!J25</f>
        <v>0</v>
      </c>
      <c r="G25" s="23">
        <f>'Sch DG-R Cust Fcst'!$C24*'Non-Residential TSM UC Adj'!K25</f>
        <v>0</v>
      </c>
      <c r="H25" s="23">
        <f>'Sch DG-R Cust Fcst'!$C24*'Non-Residential TSM UC Adj'!L25</f>
        <v>0</v>
      </c>
      <c r="I25" s="45">
        <f>IF(SUM(F25:H25)=0,0,SUM(F25:H25)/'Sch DG-R Cust Fcst'!C24)</f>
        <v>0</v>
      </c>
      <c r="J25" s="137">
        <f>'Sch DG-R Cust Fcst'!$D24*'Non-Residential TSM UC Adj'!J25</f>
        <v>0</v>
      </c>
      <c r="K25" s="23">
        <f>'Sch DG-R Cust Fcst'!$D24*'Non-Residential TSM UC Adj'!K25</f>
        <v>0</v>
      </c>
      <c r="L25" s="23">
        <f>'Sch DG-R Cust Fcst'!$D24*'Non-Residential TSM UC Adj'!L25</f>
        <v>0</v>
      </c>
      <c r="M25" s="45">
        <f>IF(SUM(J25:L25)=0,0,SUM(J25:L25)/'Sch DG-R Cust Fcst'!D24)</f>
        <v>0</v>
      </c>
      <c r="N25" s="137">
        <f>'Sch DG-R Cust Fcst'!$E24*'Non-Residential TSM UC Adj'!N25</f>
        <v>39689.604854849094</v>
      </c>
      <c r="O25" s="23">
        <f>'Sch DG-R Cust Fcst'!$E24*'Non-Residential TSM UC Adj'!O25</f>
        <v>9498.5730152662527</v>
      </c>
      <c r="P25" s="23">
        <f>'Sch DG-R Cust Fcst'!$E24*'Non-Residential TSM UC Adj'!P25</f>
        <v>865.67585029149416</v>
      </c>
      <c r="Q25" s="45">
        <f>IF(SUM(N25:P25)=0,0,SUM(N25:P25)/'Sch DG-R Cust Fcst'!E24)</f>
        <v>50053.853720406842</v>
      </c>
      <c r="R25" s="137">
        <f t="shared" si="1"/>
        <v>39689.604854849094</v>
      </c>
      <c r="S25" s="23">
        <f t="shared" si="2"/>
        <v>9498.5730152662527</v>
      </c>
      <c r="T25" s="23">
        <f t="shared" si="3"/>
        <v>865.67585029149416</v>
      </c>
      <c r="U25" s="45">
        <f>IF(SUM(R25:T25)=0,0,SUM(R25:T25)/'Sch DG-R Cust Fcst'!F24)</f>
        <v>50053.853720406842</v>
      </c>
      <c r="V25" s="37">
        <f>'Sch DG-R Cust Fcst'!$G24*'Non-Residential TSM UC Adj'!R25</f>
        <v>0</v>
      </c>
      <c r="W25" s="37">
        <f>'Sch DG-R Cust Fcst'!$G24*'Non-Residential TSM UC Adj'!S25</f>
        <v>0</v>
      </c>
      <c r="X25" s="37">
        <f>'Sch DG-R Cust Fcst'!$G24*'Non-Residential TSM UC Adj'!T25</f>
        <v>0</v>
      </c>
      <c r="Y25" s="45">
        <f>IF(SUM(V25:X25)=0,0,SUM(V25:X25)/'Sch DG-R Cust Fcst'!G24)</f>
        <v>0</v>
      </c>
      <c r="Z25" s="23">
        <f t="shared" si="4"/>
        <v>39689.604854849094</v>
      </c>
      <c r="AA25" s="23">
        <f t="shared" si="4"/>
        <v>9498.5730152662527</v>
      </c>
      <c r="AB25" s="23">
        <f t="shared" si="4"/>
        <v>865.67585029149416</v>
      </c>
      <c r="AC25" s="45">
        <f>IF(SUM(Z25:AB25)=0,0,SUM(Z25:AB25)/'Sch DG-R Cust Fcst'!H24)</f>
        <v>50053.853720406842</v>
      </c>
    </row>
    <row r="26" spans="1:29">
      <c r="A26" s="155" t="s">
        <v>18</v>
      </c>
      <c r="B26" s="137">
        <f>'Sch DG-R Cust Fcst'!$B25*'Non-Residential TSM UC Adj'!J26</f>
        <v>0</v>
      </c>
      <c r="C26" s="23">
        <f>'Sch DG-R Cust Fcst'!$B25*'Non-Residential TSM UC Adj'!K26</f>
        <v>0</v>
      </c>
      <c r="D26" s="23">
        <f>'Sch DG-R Cust Fcst'!$B25*'Non-Residential TSM UC Adj'!L26</f>
        <v>0</v>
      </c>
      <c r="E26" s="45">
        <f>IF(SUM(B26:D26)=0,0,SUM(B26:D26)/'Sch DG-R Cust Fcst'!B25)</f>
        <v>0</v>
      </c>
      <c r="F26" s="137">
        <f>'Sch DG-R Cust Fcst'!$C25*'Non-Residential TSM UC Adj'!J26</f>
        <v>0</v>
      </c>
      <c r="G26" s="23">
        <f>'Sch DG-R Cust Fcst'!$C25*'Non-Residential TSM UC Adj'!K26</f>
        <v>0</v>
      </c>
      <c r="H26" s="23">
        <f>'Sch DG-R Cust Fcst'!$C25*'Non-Residential TSM UC Adj'!L26</f>
        <v>0</v>
      </c>
      <c r="I26" s="45">
        <f>IF(SUM(F26:H26)=0,0,SUM(F26:H26)/'Sch DG-R Cust Fcst'!C25)</f>
        <v>0</v>
      </c>
      <c r="J26" s="137">
        <f>'Sch DG-R Cust Fcst'!$D25*'Non-Residential TSM UC Adj'!J26</f>
        <v>0</v>
      </c>
      <c r="K26" s="23">
        <f>'Sch DG-R Cust Fcst'!$D25*'Non-Residential TSM UC Adj'!K26</f>
        <v>0</v>
      </c>
      <c r="L26" s="23">
        <f>'Sch DG-R Cust Fcst'!$D25*'Non-Residential TSM UC Adj'!L26</f>
        <v>0</v>
      </c>
      <c r="M26" s="45">
        <f>IF(SUM(J26:L26)=0,0,SUM(J26:L26)/'Sch DG-R Cust Fcst'!D25)</f>
        <v>0</v>
      </c>
      <c r="N26" s="137">
        <f>'Sch DG-R Cust Fcst'!$E25*'Non-Residential TSM UC Adj'!N26</f>
        <v>0</v>
      </c>
      <c r="O26" s="23">
        <f>'Sch DG-R Cust Fcst'!$E25*'Non-Residential TSM UC Adj'!O26</f>
        <v>0</v>
      </c>
      <c r="P26" s="23">
        <f>'Sch DG-R Cust Fcst'!$E25*'Non-Residential TSM UC Adj'!P26</f>
        <v>0</v>
      </c>
      <c r="Q26" s="45">
        <f>IF(SUM(N26:P26)=0,0,SUM(N26:P26)/'Sch DG-R Cust Fcst'!E25)</f>
        <v>0</v>
      </c>
      <c r="R26" s="137">
        <f t="shared" si="1"/>
        <v>0</v>
      </c>
      <c r="S26" s="23">
        <f t="shared" si="2"/>
        <v>0</v>
      </c>
      <c r="T26" s="23">
        <f t="shared" si="3"/>
        <v>0</v>
      </c>
      <c r="U26" s="45">
        <f>IF(SUM(R26:T26)=0,0,SUM(R26:T26)/'Sch DG-R Cust Fcst'!F25)</f>
        <v>0</v>
      </c>
      <c r="V26" s="37">
        <f>'Sch DG-R Cust Fcst'!$G25*'Non-Residential TSM UC Adj'!R26</f>
        <v>0</v>
      </c>
      <c r="W26" s="37">
        <f>'Sch DG-R Cust Fcst'!$G25*'Non-Residential TSM UC Adj'!S26</f>
        <v>0</v>
      </c>
      <c r="X26" s="37">
        <f>'Sch DG-R Cust Fcst'!$G25*'Non-Residential TSM UC Adj'!T26</f>
        <v>0</v>
      </c>
      <c r="Y26" s="45">
        <f>IF(SUM(V26:X26)=0,0,SUM(V26:X26)/'Sch DG-R Cust Fcst'!G25)</f>
        <v>0</v>
      </c>
      <c r="Z26" s="23">
        <f t="shared" si="4"/>
        <v>0</v>
      </c>
      <c r="AA26" s="23">
        <f t="shared" si="4"/>
        <v>0</v>
      </c>
      <c r="AB26" s="23">
        <f t="shared" si="4"/>
        <v>0</v>
      </c>
      <c r="AC26" s="45">
        <f>IF(SUM(Z26:AB26)=0,0,SUM(Z26:AB26)/'Sch DG-R Cust Fcst'!H25)</f>
        <v>0</v>
      </c>
    </row>
    <row r="27" spans="1:29">
      <c r="A27" s="155" t="s">
        <v>19</v>
      </c>
      <c r="B27" s="137">
        <f>'Sch DG-R Cust Fcst'!$B26*'Non-Residential TSM UC Adj'!J27</f>
        <v>0</v>
      </c>
      <c r="C27" s="23">
        <f>'Sch DG-R Cust Fcst'!$B26*'Non-Residential TSM UC Adj'!K27</f>
        <v>0</v>
      </c>
      <c r="D27" s="23">
        <f>'Sch DG-R Cust Fcst'!$B26*'Non-Residential TSM UC Adj'!L27</f>
        <v>0</v>
      </c>
      <c r="E27" s="45">
        <f>IF(SUM(B27:D27)=0,0,SUM(B27:D27)/'Sch DG-R Cust Fcst'!B26)</f>
        <v>0</v>
      </c>
      <c r="F27" s="137">
        <f>'Sch DG-R Cust Fcst'!$C26*'Non-Residential TSM UC Adj'!J27</f>
        <v>0</v>
      </c>
      <c r="G27" s="23">
        <f>'Sch DG-R Cust Fcst'!$C26*'Non-Residential TSM UC Adj'!K27</f>
        <v>0</v>
      </c>
      <c r="H27" s="23">
        <f>'Sch DG-R Cust Fcst'!$C26*'Non-Residential TSM UC Adj'!L27</f>
        <v>0</v>
      </c>
      <c r="I27" s="45">
        <f>IF(SUM(F27:H27)=0,0,SUM(F27:H27)/'Sch DG-R Cust Fcst'!C26)</f>
        <v>0</v>
      </c>
      <c r="J27" s="137">
        <f>'Sch DG-R Cust Fcst'!$D26*'Non-Residential TSM UC Adj'!J27</f>
        <v>0</v>
      </c>
      <c r="K27" s="23">
        <f>'Sch DG-R Cust Fcst'!$D26*'Non-Residential TSM UC Adj'!K27</f>
        <v>0</v>
      </c>
      <c r="L27" s="23">
        <f>'Sch DG-R Cust Fcst'!$D26*'Non-Residential TSM UC Adj'!L27</f>
        <v>0</v>
      </c>
      <c r="M27" s="45">
        <f>IF(SUM(J27:L27)=0,0,SUM(J27:L27)/'Sch DG-R Cust Fcst'!D26)</f>
        <v>0</v>
      </c>
      <c r="N27" s="137">
        <f>'Sch DG-R Cust Fcst'!$E26*'Non-Residential TSM UC Adj'!N27</f>
        <v>39689.604854849094</v>
      </c>
      <c r="O27" s="23">
        <f>'Sch DG-R Cust Fcst'!$E26*'Non-Residential TSM UC Adj'!O27</f>
        <v>15830.955025443756</v>
      </c>
      <c r="P27" s="23">
        <f>'Sch DG-R Cust Fcst'!$E26*'Non-Residential TSM UC Adj'!P27</f>
        <v>865.67585029149416</v>
      </c>
      <c r="Q27" s="45">
        <f>IF(SUM(N27:P27)=0,0,SUM(N27:P27)/'Sch DG-R Cust Fcst'!E26)</f>
        <v>56386.235730584347</v>
      </c>
      <c r="R27" s="137">
        <f t="shared" si="1"/>
        <v>39689.604854849094</v>
      </c>
      <c r="S27" s="23">
        <f t="shared" si="2"/>
        <v>15830.955025443756</v>
      </c>
      <c r="T27" s="23">
        <f t="shared" si="3"/>
        <v>865.67585029149416</v>
      </c>
      <c r="U27" s="45">
        <f>IF(SUM(R27:T27)=0,0,SUM(R27:T27)/'Sch DG-R Cust Fcst'!F26)</f>
        <v>56386.235730584347</v>
      </c>
      <c r="V27" s="37">
        <f>'Sch DG-R Cust Fcst'!$G26*'Non-Residential TSM UC Adj'!R27</f>
        <v>0</v>
      </c>
      <c r="W27" s="37">
        <f>'Sch DG-R Cust Fcst'!$G26*'Non-Residential TSM UC Adj'!S27</f>
        <v>3129.9273129422195</v>
      </c>
      <c r="X27" s="37">
        <f>'Sch DG-R Cust Fcst'!$G26*'Non-Residential TSM UC Adj'!T27</f>
        <v>967.82163835260417</v>
      </c>
      <c r="Y27" s="45">
        <f>IF(SUM(V27:X27)=0,0,SUM(V27:X27)/'Sch DG-R Cust Fcst'!G26)</f>
        <v>4097.7489512948232</v>
      </c>
      <c r="Z27" s="23">
        <f t="shared" si="4"/>
        <v>39689.604854849094</v>
      </c>
      <c r="AA27" s="23">
        <f t="shared" si="4"/>
        <v>18960.882338385974</v>
      </c>
      <c r="AB27" s="23">
        <f t="shared" si="4"/>
        <v>1833.4974886440982</v>
      </c>
      <c r="AC27" s="45">
        <f>IF(SUM(Z27:AB27)=0,0,SUM(Z27:AB27)/'Sch DG-R Cust Fcst'!H26)</f>
        <v>30241.992340939581</v>
      </c>
    </row>
    <row r="28" spans="1:29">
      <c r="A28" s="155" t="s">
        <v>20</v>
      </c>
      <c r="B28" s="137">
        <f>'Sch DG-R Cust Fcst'!$B27*'Non-Residential TSM UC Adj'!J28</f>
        <v>0</v>
      </c>
      <c r="C28" s="23">
        <f>'Sch DG-R Cust Fcst'!$B27*'Non-Residential TSM UC Adj'!K28</f>
        <v>0</v>
      </c>
      <c r="D28" s="23">
        <f>'Sch DG-R Cust Fcst'!$B27*'Non-Residential TSM UC Adj'!L28</f>
        <v>0</v>
      </c>
      <c r="E28" s="45">
        <f>IF(SUM(B28:D28)=0,0,SUM(B28:D28)/'Sch DG-R Cust Fcst'!B27)</f>
        <v>0</v>
      </c>
      <c r="F28" s="137">
        <f>'Sch DG-R Cust Fcst'!$C27*'Non-Residential TSM UC Adj'!J28</f>
        <v>0</v>
      </c>
      <c r="G28" s="23">
        <f>'Sch DG-R Cust Fcst'!$C27*'Non-Residential TSM UC Adj'!K28</f>
        <v>0</v>
      </c>
      <c r="H28" s="23">
        <f>'Sch DG-R Cust Fcst'!$C27*'Non-Residential TSM UC Adj'!L28</f>
        <v>0</v>
      </c>
      <c r="I28" s="45">
        <f>IF(SUM(F28:H28)=0,0,SUM(F28:H28)/'Sch DG-R Cust Fcst'!C27)</f>
        <v>0</v>
      </c>
      <c r="J28" s="137">
        <f>'Sch DG-R Cust Fcst'!$D27*'Non-Residential TSM UC Adj'!J28</f>
        <v>0</v>
      </c>
      <c r="K28" s="23">
        <f>'Sch DG-R Cust Fcst'!$D27*'Non-Residential TSM UC Adj'!K28</f>
        <v>0</v>
      </c>
      <c r="L28" s="23">
        <f>'Sch DG-R Cust Fcst'!$D27*'Non-Residential TSM UC Adj'!L28</f>
        <v>0</v>
      </c>
      <c r="M28" s="45">
        <f>IF(SUM(J28:L28)=0,0,SUM(J28:L28)/'Sch DG-R Cust Fcst'!D27)</f>
        <v>0</v>
      </c>
      <c r="N28" s="137">
        <f>'Sch DG-R Cust Fcst'!$E27*'Non-Residential TSM UC Adj'!N28</f>
        <v>0</v>
      </c>
      <c r="O28" s="23">
        <f>'Sch DG-R Cust Fcst'!$E27*'Non-Residential TSM UC Adj'!O28</f>
        <v>0</v>
      </c>
      <c r="P28" s="23">
        <f>'Sch DG-R Cust Fcst'!$E27*'Non-Residential TSM UC Adj'!P28</f>
        <v>0</v>
      </c>
      <c r="Q28" s="45">
        <f>IF(SUM(N28:P28)=0,0,SUM(N28:P28)/'Sch DG-R Cust Fcst'!E27)</f>
        <v>0</v>
      </c>
      <c r="R28" s="137">
        <f t="shared" si="1"/>
        <v>0</v>
      </c>
      <c r="S28" s="23">
        <f t="shared" si="2"/>
        <v>0</v>
      </c>
      <c r="T28" s="23">
        <f t="shared" si="3"/>
        <v>0</v>
      </c>
      <c r="U28" s="45">
        <f>IF(SUM(R28:T28)=0,0,SUM(R28:T28)/'Sch DG-R Cust Fcst'!F27)</f>
        <v>0</v>
      </c>
      <c r="V28" s="37">
        <f>'Sch DG-R Cust Fcst'!$G27*'Non-Residential TSM UC Adj'!R28</f>
        <v>0</v>
      </c>
      <c r="W28" s="37">
        <f>'Sch DG-R Cust Fcst'!$G27*'Non-Residential TSM UC Adj'!S28</f>
        <v>0</v>
      </c>
      <c r="X28" s="37">
        <f>'Sch DG-R Cust Fcst'!$G27*'Non-Residential TSM UC Adj'!T28</f>
        <v>0</v>
      </c>
      <c r="Y28" s="45">
        <f>IF(SUM(V28:X28)=0,0,SUM(V28:X28)/'Sch DG-R Cust Fcst'!G27)</f>
        <v>0</v>
      </c>
      <c r="Z28" s="23">
        <f t="shared" si="4"/>
        <v>0</v>
      </c>
      <c r="AA28" s="23">
        <f t="shared" si="4"/>
        <v>0</v>
      </c>
      <c r="AB28" s="23">
        <f t="shared" si="4"/>
        <v>0</v>
      </c>
      <c r="AC28" s="45">
        <f>IF(SUM(Z28:AB28)=0,0,SUM(Z28:AB28)/'Sch DG-R Cust Fcst'!H27)</f>
        <v>0</v>
      </c>
    </row>
    <row r="29" spans="1:29">
      <c r="A29" s="155" t="s">
        <v>21</v>
      </c>
      <c r="B29" s="137">
        <f>'Sch DG-R Cust Fcst'!$B28*'Non-Residential TSM UC Adj'!J29</f>
        <v>0</v>
      </c>
      <c r="C29" s="23">
        <f>'Sch DG-R Cust Fcst'!$B28*'Non-Residential TSM UC Adj'!K29</f>
        <v>0</v>
      </c>
      <c r="D29" s="23">
        <f>'Sch DG-R Cust Fcst'!$B28*'Non-Residential TSM UC Adj'!L29</f>
        <v>0</v>
      </c>
      <c r="E29" s="45">
        <f>IF(SUM(B29:D29)=0,0,SUM(B29:D29)/'Sch DG-R Cust Fcst'!B28)</f>
        <v>0</v>
      </c>
      <c r="F29" s="137">
        <f>'Sch DG-R Cust Fcst'!$C28*'Non-Residential TSM UC Adj'!J29</f>
        <v>0</v>
      </c>
      <c r="G29" s="23">
        <f>'Sch DG-R Cust Fcst'!$C28*'Non-Residential TSM UC Adj'!K29</f>
        <v>0</v>
      </c>
      <c r="H29" s="23">
        <f>'Sch DG-R Cust Fcst'!$C28*'Non-Residential TSM UC Adj'!L29</f>
        <v>0</v>
      </c>
      <c r="I29" s="45">
        <f>IF(SUM(F29:H29)=0,0,SUM(F29:H29)/'Sch DG-R Cust Fcst'!C28)</f>
        <v>0</v>
      </c>
      <c r="J29" s="137">
        <f>'Sch DG-R Cust Fcst'!$D28*'Non-Residential TSM UC Adj'!J29</f>
        <v>0</v>
      </c>
      <c r="K29" s="23">
        <f>'Sch DG-R Cust Fcst'!$D28*'Non-Residential TSM UC Adj'!K29</f>
        <v>0</v>
      </c>
      <c r="L29" s="23">
        <f>'Sch DG-R Cust Fcst'!$D28*'Non-Residential TSM UC Adj'!L29</f>
        <v>0</v>
      </c>
      <c r="M29" s="45">
        <f>IF(SUM(J29:L29)=0,0,SUM(J29:L29)/'Sch DG-R Cust Fcst'!D28)</f>
        <v>0</v>
      </c>
      <c r="N29" s="137">
        <f>'Sch DG-R Cust Fcst'!$E28*'Non-Residential TSM UC Adj'!N29</f>
        <v>0</v>
      </c>
      <c r="O29" s="23">
        <f>'Sch DG-R Cust Fcst'!$E28*'Non-Residential TSM UC Adj'!O29</f>
        <v>0</v>
      </c>
      <c r="P29" s="23">
        <f>'Sch DG-R Cust Fcst'!$E28*'Non-Residential TSM UC Adj'!P29</f>
        <v>0</v>
      </c>
      <c r="Q29" s="45">
        <f>IF(SUM(N29:P29)=0,0,SUM(N29:P29)/'Sch DG-R Cust Fcst'!E28)</f>
        <v>0</v>
      </c>
      <c r="R29" s="137">
        <f t="shared" si="1"/>
        <v>0</v>
      </c>
      <c r="S29" s="23">
        <f t="shared" si="2"/>
        <v>0</v>
      </c>
      <c r="T29" s="23">
        <f t="shared" si="3"/>
        <v>0</v>
      </c>
      <c r="U29" s="45">
        <f>IF(SUM(R29:T29)=0,0,SUM(R29:T29)/'Sch DG-R Cust Fcst'!F28)</f>
        <v>0</v>
      </c>
      <c r="V29" s="37">
        <f>'Sch DG-R Cust Fcst'!$G28*'Non-Residential TSM UC Adj'!R29</f>
        <v>0</v>
      </c>
      <c r="W29" s="37">
        <f>'Sch DG-R Cust Fcst'!$G28*'Non-Residential TSM UC Adj'!S29</f>
        <v>0</v>
      </c>
      <c r="X29" s="37">
        <f>'Sch DG-R Cust Fcst'!$G28*'Non-Residential TSM UC Adj'!T29</f>
        <v>0</v>
      </c>
      <c r="Y29" s="45">
        <f>IF(SUM(V29:X29)=0,0,SUM(V29:X29)/'Sch DG-R Cust Fcst'!G28)</f>
        <v>0</v>
      </c>
      <c r="Z29" s="23">
        <f t="shared" si="4"/>
        <v>0</v>
      </c>
      <c r="AA29" s="23">
        <f t="shared" si="4"/>
        <v>0</v>
      </c>
      <c r="AB29" s="23">
        <f t="shared" si="4"/>
        <v>0</v>
      </c>
      <c r="AC29" s="45">
        <f>IF(SUM(Z29:AB29)=0,0,SUM(Z29:AB29)/'Sch DG-R Cust Fcst'!H28)</f>
        <v>0</v>
      </c>
    </row>
    <row r="30" spans="1:29">
      <c r="A30" s="155" t="s">
        <v>22</v>
      </c>
      <c r="B30" s="137">
        <f>'Sch DG-R Cust Fcst'!$B29*'Non-Residential TSM UC Adj'!J30</f>
        <v>0</v>
      </c>
      <c r="C30" s="23">
        <f>'Sch DG-R Cust Fcst'!$B29*'Non-Residential TSM UC Adj'!K30</f>
        <v>0</v>
      </c>
      <c r="D30" s="23">
        <f>'Sch DG-R Cust Fcst'!$B29*'Non-Residential TSM UC Adj'!L30</f>
        <v>0</v>
      </c>
      <c r="E30" s="45">
        <f>IF(SUM(B30:D30)=0,0,SUM(B30:D30)/'Sch DG-R Cust Fcst'!B29)</f>
        <v>0</v>
      </c>
      <c r="F30" s="137">
        <f>'Sch DG-R Cust Fcst'!$C29*'Non-Residential TSM UC Adj'!J30</f>
        <v>0</v>
      </c>
      <c r="G30" s="23">
        <f>'Sch DG-R Cust Fcst'!$C29*'Non-Residential TSM UC Adj'!K30</f>
        <v>0</v>
      </c>
      <c r="H30" s="23">
        <f>'Sch DG-R Cust Fcst'!$C29*'Non-Residential TSM UC Adj'!L30</f>
        <v>0</v>
      </c>
      <c r="I30" s="45">
        <f>IF(SUM(F30:H30)=0,0,SUM(F30:H30)/'Sch DG-R Cust Fcst'!C29)</f>
        <v>0</v>
      </c>
      <c r="J30" s="137">
        <f>'Sch DG-R Cust Fcst'!$D29*'Non-Residential TSM UC Adj'!J30</f>
        <v>0</v>
      </c>
      <c r="K30" s="23">
        <f>'Sch DG-R Cust Fcst'!$D29*'Non-Residential TSM UC Adj'!K30</f>
        <v>0</v>
      </c>
      <c r="L30" s="23">
        <f>'Sch DG-R Cust Fcst'!$D29*'Non-Residential TSM UC Adj'!L30</f>
        <v>0</v>
      </c>
      <c r="M30" s="45">
        <f>IF(SUM(J30:L30)=0,0,SUM(J30:L30)/'Sch DG-R Cust Fcst'!D29)</f>
        <v>0</v>
      </c>
      <c r="N30" s="137">
        <f>'Sch DG-R Cust Fcst'!$E29*'Non-Residential TSM UC Adj'!N30</f>
        <v>0</v>
      </c>
      <c r="O30" s="23">
        <f>'Sch DG-R Cust Fcst'!$E29*'Non-Residential TSM UC Adj'!O30</f>
        <v>0</v>
      </c>
      <c r="P30" s="23">
        <f>'Sch DG-R Cust Fcst'!$E29*'Non-Residential TSM UC Adj'!P30</f>
        <v>0</v>
      </c>
      <c r="Q30" s="45">
        <f>IF(SUM(N30:P30)=0,0,SUM(N30:P30)/'Sch DG-R Cust Fcst'!E29)</f>
        <v>0</v>
      </c>
      <c r="R30" s="137">
        <f t="shared" si="1"/>
        <v>0</v>
      </c>
      <c r="S30" s="23">
        <f t="shared" si="2"/>
        <v>0</v>
      </c>
      <c r="T30" s="23">
        <f t="shared" si="3"/>
        <v>0</v>
      </c>
      <c r="U30" s="45">
        <f>IF(SUM(R30:T30)=0,0,SUM(R30:T30)/'Sch DG-R Cust Fcst'!F29)</f>
        <v>0</v>
      </c>
      <c r="V30" s="37">
        <f>'Sch DG-R Cust Fcst'!$G29*'Non-Residential TSM UC Adj'!R30</f>
        <v>0</v>
      </c>
      <c r="W30" s="37">
        <f>'Sch DG-R Cust Fcst'!$G29*'Non-Residential TSM UC Adj'!S30</f>
        <v>0</v>
      </c>
      <c r="X30" s="37">
        <f>'Sch DG-R Cust Fcst'!$G29*'Non-Residential TSM UC Adj'!T30</f>
        <v>0</v>
      </c>
      <c r="Y30" s="45">
        <f>IF(SUM(V30:X30)=0,0,SUM(V30:X30)/'Sch DG-R Cust Fcst'!G29)</f>
        <v>0</v>
      </c>
      <c r="Z30" s="23">
        <f t="shared" si="4"/>
        <v>0</v>
      </c>
      <c r="AA30" s="23">
        <f t="shared" si="4"/>
        <v>0</v>
      </c>
      <c r="AB30" s="23">
        <f t="shared" si="4"/>
        <v>0</v>
      </c>
      <c r="AC30" s="45">
        <f>IF(SUM(Z30:AB30)=0,0,SUM(Z30:AB30)/'Sch DG-R Cust Fcst'!H29)</f>
        <v>0</v>
      </c>
    </row>
    <row r="31" spans="1:29">
      <c r="A31" s="153" t="s">
        <v>23</v>
      </c>
      <c r="B31" s="137">
        <f>'Sch DG-R Cust Fcst'!$B30*'Non-Residential TSM UC Adj'!J31</f>
        <v>0</v>
      </c>
      <c r="C31" s="23">
        <f>'Sch DG-R Cust Fcst'!$B30*'Non-Residential TSM UC Adj'!K31</f>
        <v>0</v>
      </c>
      <c r="D31" s="23">
        <f>'Sch DG-R Cust Fcst'!$B30*'Non-Residential TSM UC Adj'!L31</f>
        <v>0</v>
      </c>
      <c r="E31" s="45">
        <f>IF(SUM(B31:D31)=0,0,SUM(B31:D31)/'Sch DG-R Cust Fcst'!B30)</f>
        <v>0</v>
      </c>
      <c r="F31" s="137">
        <f>'Sch DG-R Cust Fcst'!$C30*'Non-Residential TSM UC Adj'!J31</f>
        <v>0</v>
      </c>
      <c r="G31" s="23">
        <f>'Sch DG-R Cust Fcst'!$C30*'Non-Residential TSM UC Adj'!K31</f>
        <v>0</v>
      </c>
      <c r="H31" s="23">
        <f>'Sch DG-R Cust Fcst'!$C30*'Non-Residential TSM UC Adj'!L31</f>
        <v>0</v>
      </c>
      <c r="I31" s="45">
        <f>IF(SUM(F31:H31)=0,0,SUM(F31:H31)/'Sch DG-R Cust Fcst'!C30)</f>
        <v>0</v>
      </c>
      <c r="J31" s="137">
        <f>'Sch DG-R Cust Fcst'!$D30*'Non-Residential TSM UC Adj'!J31</f>
        <v>0</v>
      </c>
      <c r="K31" s="23">
        <f>'Sch DG-R Cust Fcst'!$D30*'Non-Residential TSM UC Adj'!K31</f>
        <v>0</v>
      </c>
      <c r="L31" s="23">
        <f>'Sch DG-R Cust Fcst'!$D30*'Non-Residential TSM UC Adj'!L31</f>
        <v>0</v>
      </c>
      <c r="M31" s="45">
        <f>IF(SUM(J31:L31)=0,0,SUM(J31:L31)/'Sch DG-R Cust Fcst'!D30)</f>
        <v>0</v>
      </c>
      <c r="N31" s="137">
        <f>'Sch DG-R Cust Fcst'!$E30*'Non-Residential TSM UC Adj'!N31</f>
        <v>0</v>
      </c>
      <c r="O31" s="23">
        <f>'Sch DG-R Cust Fcst'!$E30*'Non-Residential TSM UC Adj'!O31</f>
        <v>0</v>
      </c>
      <c r="P31" s="23">
        <f>'Sch DG-R Cust Fcst'!$E30*'Non-Residential TSM UC Adj'!P31</f>
        <v>0</v>
      </c>
      <c r="Q31" s="45">
        <f>IF(SUM(N31:P31)=0,0,SUM(N31:P31)/'Sch DG-R Cust Fcst'!E30)</f>
        <v>0</v>
      </c>
      <c r="R31" s="137">
        <f t="shared" si="1"/>
        <v>0</v>
      </c>
      <c r="S31" s="23">
        <f t="shared" si="2"/>
        <v>0</v>
      </c>
      <c r="T31" s="23">
        <f t="shared" si="3"/>
        <v>0</v>
      </c>
      <c r="U31" s="45">
        <f>IF(SUM(R31:T31)=0,0,SUM(R31:T31)/'Sch DG-R Cust Fcst'!F30)</f>
        <v>0</v>
      </c>
      <c r="V31" s="37">
        <f>'Sch DG-R Cust Fcst'!$G30*'Non-Residential TSM UC Adj'!R31</f>
        <v>0</v>
      </c>
      <c r="W31" s="37">
        <f>'Sch DG-R Cust Fcst'!$G30*'Non-Residential TSM UC Adj'!S31</f>
        <v>0</v>
      </c>
      <c r="X31" s="37">
        <f>'Sch DG-R Cust Fcst'!$G30*'Non-Residential TSM UC Adj'!T31</f>
        <v>0</v>
      </c>
      <c r="Y31" s="45">
        <f>IF(SUM(V31:X31)=0,0,SUM(V31:X31)/'Sch DG-R Cust Fcst'!G30)</f>
        <v>0</v>
      </c>
      <c r="Z31" s="23">
        <f t="shared" si="4"/>
        <v>0</v>
      </c>
      <c r="AA31" s="23">
        <f t="shared" si="4"/>
        <v>0</v>
      </c>
      <c r="AB31" s="23">
        <f t="shared" si="4"/>
        <v>0</v>
      </c>
      <c r="AC31" s="45">
        <f>IF(SUM(Z31:AB31)=0,0,SUM(Z31:AB31)/'Sch DG-R Cust Fcst'!H30)</f>
        <v>0</v>
      </c>
    </row>
    <row r="32" spans="1:29">
      <c r="A32" s="153" t="s">
        <v>24</v>
      </c>
      <c r="B32" s="137">
        <f>'Sch DG-R Cust Fcst'!$B31*'Non-Residential TSM UC Adj'!J32</f>
        <v>0</v>
      </c>
      <c r="C32" s="23">
        <f>'Sch DG-R Cust Fcst'!$B31*'Non-Residential TSM UC Adj'!K32</f>
        <v>0</v>
      </c>
      <c r="D32" s="23">
        <f>'Sch DG-R Cust Fcst'!$B31*'Non-Residential TSM UC Adj'!L32</f>
        <v>0</v>
      </c>
      <c r="E32" s="45">
        <f>IF(SUM(B32:D32)=0,0,SUM(B32:D32)/'Sch DG-R Cust Fcst'!B31)</f>
        <v>0</v>
      </c>
      <c r="F32" s="137">
        <f>'Sch DG-R Cust Fcst'!$C31*'Non-Residential TSM UC Adj'!J32</f>
        <v>0</v>
      </c>
      <c r="G32" s="23">
        <f>'Sch DG-R Cust Fcst'!$C31*'Non-Residential TSM UC Adj'!K32</f>
        <v>0</v>
      </c>
      <c r="H32" s="23">
        <f>'Sch DG-R Cust Fcst'!$C31*'Non-Residential TSM UC Adj'!L32</f>
        <v>0</v>
      </c>
      <c r="I32" s="45">
        <f>IF(SUM(F32:H32)=0,0,SUM(F32:H32)/'Sch DG-R Cust Fcst'!C31)</f>
        <v>0</v>
      </c>
      <c r="J32" s="137">
        <f>'Sch DG-R Cust Fcst'!$D31*'Non-Residential TSM UC Adj'!J32</f>
        <v>0</v>
      </c>
      <c r="K32" s="23">
        <f>'Sch DG-R Cust Fcst'!$D31*'Non-Residential TSM UC Adj'!K32</f>
        <v>0</v>
      </c>
      <c r="L32" s="23">
        <f>'Sch DG-R Cust Fcst'!$D31*'Non-Residential TSM UC Adj'!L32</f>
        <v>0</v>
      </c>
      <c r="M32" s="45">
        <f>IF(SUM(J32:L32)=0,0,SUM(J32:L32)/'Sch DG-R Cust Fcst'!D31)</f>
        <v>0</v>
      </c>
      <c r="N32" s="137">
        <f>'Sch DG-R Cust Fcst'!$E31*'Non-Residential TSM UC Adj'!N32</f>
        <v>0</v>
      </c>
      <c r="O32" s="23">
        <f>'Sch DG-R Cust Fcst'!$E31*'Non-Residential TSM UC Adj'!O32</f>
        <v>0</v>
      </c>
      <c r="P32" s="23">
        <f>'Sch DG-R Cust Fcst'!$E31*'Non-Residential TSM UC Adj'!P32</f>
        <v>0</v>
      </c>
      <c r="Q32" s="45">
        <f>IF(SUM(N32:P32)=0,0,SUM(N32:P32)/'Sch DG-R Cust Fcst'!E31)</f>
        <v>0</v>
      </c>
      <c r="R32" s="137">
        <f t="shared" si="1"/>
        <v>0</v>
      </c>
      <c r="S32" s="23">
        <f t="shared" si="2"/>
        <v>0</v>
      </c>
      <c r="T32" s="23">
        <f t="shared" si="3"/>
        <v>0</v>
      </c>
      <c r="U32" s="45">
        <f>IF(SUM(R32:T32)=0,0,SUM(R32:T32)/'Sch DG-R Cust Fcst'!F31)</f>
        <v>0</v>
      </c>
      <c r="V32" s="37">
        <f>'Sch DG-R Cust Fcst'!$G31*'Non-Residential TSM UC Adj'!R32</f>
        <v>0</v>
      </c>
      <c r="W32" s="37">
        <f>'Sch DG-R Cust Fcst'!$G31*'Non-Residential TSM UC Adj'!S32</f>
        <v>0</v>
      </c>
      <c r="X32" s="37">
        <f>'Sch DG-R Cust Fcst'!$G31*'Non-Residential TSM UC Adj'!T32</f>
        <v>0</v>
      </c>
      <c r="Y32" s="45">
        <f>IF(SUM(V32:X32)=0,0,SUM(V32:X32)/'Sch DG-R Cust Fcst'!G31)</f>
        <v>0</v>
      </c>
      <c r="Z32" s="23">
        <f t="shared" si="4"/>
        <v>0</v>
      </c>
      <c r="AA32" s="23">
        <f t="shared" si="4"/>
        <v>0</v>
      </c>
      <c r="AB32" s="23">
        <f t="shared" si="4"/>
        <v>0</v>
      </c>
      <c r="AC32" s="45">
        <f>IF(SUM(Z32:AB32)=0,0,SUM(Z32:AB32)/'Sch DG-R Cust Fcst'!H31)</f>
        <v>0</v>
      </c>
    </row>
    <row r="33" spans="1:29">
      <c r="A33" s="153" t="s">
        <v>25</v>
      </c>
      <c r="B33" s="137">
        <f>'Sch DG-R Cust Fcst'!$B32*'Non-Residential TSM UC Adj'!J33</f>
        <v>0</v>
      </c>
      <c r="C33" s="23">
        <f>'Sch DG-R Cust Fcst'!$B32*'Non-Residential TSM UC Adj'!K33</f>
        <v>0</v>
      </c>
      <c r="D33" s="23">
        <f>'Sch DG-R Cust Fcst'!$B32*'Non-Residential TSM UC Adj'!L33</f>
        <v>0</v>
      </c>
      <c r="E33" s="45">
        <f>IF(SUM(B33:D33)=0,0,SUM(B33:D33)/'Sch DG-R Cust Fcst'!B32)</f>
        <v>0</v>
      </c>
      <c r="F33" s="137">
        <f>'Sch DG-R Cust Fcst'!$C32*'Non-Residential TSM UC Adj'!J33</f>
        <v>0</v>
      </c>
      <c r="G33" s="23">
        <f>'Sch DG-R Cust Fcst'!$C32*'Non-Residential TSM UC Adj'!K33</f>
        <v>0</v>
      </c>
      <c r="H33" s="23">
        <f>'Sch DG-R Cust Fcst'!$C32*'Non-Residential TSM UC Adj'!L33</f>
        <v>0</v>
      </c>
      <c r="I33" s="45">
        <f>IF(SUM(F33:H33)=0,0,SUM(F33:H33)/'Sch DG-R Cust Fcst'!C32)</f>
        <v>0</v>
      </c>
      <c r="J33" s="137">
        <f>'Sch DG-R Cust Fcst'!$D32*'Non-Residential TSM UC Adj'!J33</f>
        <v>0</v>
      </c>
      <c r="K33" s="23">
        <f>'Sch DG-R Cust Fcst'!$D32*'Non-Residential TSM UC Adj'!K33</f>
        <v>0</v>
      </c>
      <c r="L33" s="23">
        <f>'Sch DG-R Cust Fcst'!$D32*'Non-Residential TSM UC Adj'!L33</f>
        <v>0</v>
      </c>
      <c r="M33" s="45">
        <f>IF(SUM(J33:L33)=0,0,SUM(J33:L33)/'Sch DG-R Cust Fcst'!D32)</f>
        <v>0</v>
      </c>
      <c r="N33" s="137">
        <f>'Sch DG-R Cust Fcst'!$E32*'Non-Residential TSM UC Adj'!N33</f>
        <v>0</v>
      </c>
      <c r="O33" s="23">
        <f>'Sch DG-R Cust Fcst'!$E32*'Non-Residential TSM UC Adj'!O33</f>
        <v>0</v>
      </c>
      <c r="P33" s="23">
        <f>'Sch DG-R Cust Fcst'!$E32*'Non-Residential TSM UC Adj'!P33</f>
        <v>0</v>
      </c>
      <c r="Q33" s="45">
        <f>IF(SUM(N33:P33)=0,0,SUM(N33:P33)/'Sch DG-R Cust Fcst'!E32)</f>
        <v>0</v>
      </c>
      <c r="R33" s="137">
        <f t="shared" si="1"/>
        <v>0</v>
      </c>
      <c r="S33" s="23">
        <f t="shared" si="2"/>
        <v>0</v>
      </c>
      <c r="T33" s="23">
        <f t="shared" si="3"/>
        <v>0</v>
      </c>
      <c r="U33" s="45">
        <f>IF(SUM(R33:T33)=0,0,SUM(R33:T33)/'Sch DG-R Cust Fcst'!F32)</f>
        <v>0</v>
      </c>
      <c r="V33" s="37">
        <f>'Sch DG-R Cust Fcst'!$G32*'Non-Residential TSM UC Adj'!R33</f>
        <v>0</v>
      </c>
      <c r="W33" s="37">
        <f>'Sch DG-R Cust Fcst'!$G32*'Non-Residential TSM UC Adj'!S33</f>
        <v>0</v>
      </c>
      <c r="X33" s="37">
        <f>'Sch DG-R Cust Fcst'!$G32*'Non-Residential TSM UC Adj'!T33</f>
        <v>0</v>
      </c>
      <c r="Y33" s="45">
        <f>IF(SUM(V33:X33)=0,0,SUM(V33:X33)/'Sch DG-R Cust Fcst'!G32)</f>
        <v>0</v>
      </c>
      <c r="Z33" s="23">
        <f t="shared" si="4"/>
        <v>0</v>
      </c>
      <c r="AA33" s="23">
        <f t="shared" si="4"/>
        <v>0</v>
      </c>
      <c r="AB33" s="23">
        <f t="shared" si="4"/>
        <v>0</v>
      </c>
      <c r="AC33" s="45">
        <f>IF(SUM(Z33:AB33)=0,0,SUM(Z33:AB33)/'Sch DG-R Cust Fcst'!H32)</f>
        <v>0</v>
      </c>
    </row>
    <row r="34" spans="1:29">
      <c r="A34" s="153" t="s">
        <v>125</v>
      </c>
      <c r="B34" s="137">
        <f>'Sch DG-R Cust Fcst'!$B33*'Non-Residential TSM UC Adj'!J34</f>
        <v>0</v>
      </c>
      <c r="C34" s="23">
        <f>'Sch DG-R Cust Fcst'!$B33*'Non-Residential TSM UC Adj'!K34</f>
        <v>0</v>
      </c>
      <c r="D34" s="23">
        <f>'Sch DG-R Cust Fcst'!$B33*'Non-Residential TSM UC Adj'!L34</f>
        <v>0</v>
      </c>
      <c r="E34" s="45">
        <f>IF(SUM(B34:D34)=0,0,SUM(B34:D34)/'Sch DG-R Cust Fcst'!B33)</f>
        <v>0</v>
      </c>
      <c r="F34" s="137">
        <f>'Sch DG-R Cust Fcst'!$C33*'Non-Residential TSM UC Adj'!J34</f>
        <v>0</v>
      </c>
      <c r="G34" s="23">
        <f>'Sch DG-R Cust Fcst'!$C33*'Non-Residential TSM UC Adj'!K34</f>
        <v>0</v>
      </c>
      <c r="H34" s="23">
        <f>'Sch DG-R Cust Fcst'!$C33*'Non-Residential TSM UC Adj'!L34</f>
        <v>0</v>
      </c>
      <c r="I34" s="45">
        <f>IF(SUM(F34:H34)=0,0,SUM(F34:H34)/'Sch DG-R Cust Fcst'!C33)</f>
        <v>0</v>
      </c>
      <c r="J34" s="137">
        <f>'Sch DG-R Cust Fcst'!$D33*'Non-Residential TSM UC Adj'!J34</f>
        <v>0</v>
      </c>
      <c r="K34" s="23">
        <f>'Sch DG-R Cust Fcst'!$D33*'Non-Residential TSM UC Adj'!K34</f>
        <v>0</v>
      </c>
      <c r="L34" s="23">
        <f>'Sch DG-R Cust Fcst'!$D33*'Non-Residential TSM UC Adj'!L34</f>
        <v>0</v>
      </c>
      <c r="M34" s="45">
        <f>IF(SUM(J34:L34)=0,0,SUM(J34:L34)/'Sch DG-R Cust Fcst'!D33)</f>
        <v>0</v>
      </c>
      <c r="N34" s="137">
        <f>'Sch DG-R Cust Fcst'!$E33*'Non-Residential TSM UC Adj'!N34</f>
        <v>0</v>
      </c>
      <c r="O34" s="23">
        <f>'Sch DG-R Cust Fcst'!$E33*'Non-Residential TSM UC Adj'!O34</f>
        <v>0</v>
      </c>
      <c r="P34" s="23">
        <f>'Sch DG-R Cust Fcst'!$E33*'Non-Residential TSM UC Adj'!P34</f>
        <v>0</v>
      </c>
      <c r="Q34" s="45">
        <f>IF(SUM(N34:P34)=0,0,SUM(N34:P34)/'Sch DG-R Cust Fcst'!E33)</f>
        <v>0</v>
      </c>
      <c r="R34" s="137">
        <f t="shared" si="1"/>
        <v>0</v>
      </c>
      <c r="S34" s="23">
        <f t="shared" si="2"/>
        <v>0</v>
      </c>
      <c r="T34" s="23">
        <f t="shared" si="3"/>
        <v>0</v>
      </c>
      <c r="U34" s="45">
        <f>IF(SUM(R34:T34)=0,0,SUM(R34:T34)/'Sch DG-R Cust Fcst'!F33)</f>
        <v>0</v>
      </c>
      <c r="V34" s="37">
        <f>'Sch DG-R Cust Fcst'!$G33*'Non-Residential TSM UC Adj'!R34</f>
        <v>0</v>
      </c>
      <c r="W34" s="37">
        <f>'Sch DG-R Cust Fcst'!$G33*'Non-Residential TSM UC Adj'!S34</f>
        <v>0</v>
      </c>
      <c r="X34" s="37">
        <f>'Sch DG-R Cust Fcst'!$G33*'Non-Residential TSM UC Adj'!T34</f>
        <v>0</v>
      </c>
      <c r="Y34" s="45">
        <f>IF(SUM(V34:X34)=0,0,SUM(V34:X34)/'Sch DG-R Cust Fcst'!G33)</f>
        <v>0</v>
      </c>
      <c r="Z34" s="23">
        <f t="shared" si="4"/>
        <v>0</v>
      </c>
      <c r="AA34" s="23">
        <f t="shared" si="4"/>
        <v>0</v>
      </c>
      <c r="AB34" s="23">
        <f t="shared" si="4"/>
        <v>0</v>
      </c>
      <c r="AC34" s="45">
        <f>IF(SUM(Z34:AB34)=0,0,SUM(Z34:AB34)/'Sch DG-R Cust Fcst'!H33)</f>
        <v>0</v>
      </c>
    </row>
    <row r="35" spans="1:29">
      <c r="A35" s="153" t="s">
        <v>126</v>
      </c>
      <c r="B35" s="137">
        <f>'Sch DG-R Cust Fcst'!$B34*'Non-Residential TSM UC Adj'!J35</f>
        <v>0</v>
      </c>
      <c r="C35" s="23">
        <f>'Sch DG-R Cust Fcst'!$B34*'Non-Residential TSM UC Adj'!K35</f>
        <v>0</v>
      </c>
      <c r="D35" s="23">
        <f>'Sch DG-R Cust Fcst'!$B34*'Non-Residential TSM UC Adj'!L35</f>
        <v>0</v>
      </c>
      <c r="E35" s="45">
        <f>IF(SUM(B35:D35)=0,0,SUM(B35:D35)/'Sch DG-R Cust Fcst'!B34)</f>
        <v>0</v>
      </c>
      <c r="F35" s="137">
        <f>'Sch DG-R Cust Fcst'!$C34*'Non-Residential TSM UC Adj'!J35</f>
        <v>0</v>
      </c>
      <c r="G35" s="23">
        <f>'Sch DG-R Cust Fcst'!$C34*'Non-Residential TSM UC Adj'!K35</f>
        <v>0</v>
      </c>
      <c r="H35" s="23">
        <f>'Sch DG-R Cust Fcst'!$C34*'Non-Residential TSM UC Adj'!L35</f>
        <v>0</v>
      </c>
      <c r="I35" s="45">
        <f>IF(SUM(F35:H35)=0,0,SUM(F35:H35)/'Sch DG-R Cust Fcst'!C34)</f>
        <v>0</v>
      </c>
      <c r="J35" s="137">
        <f>'Sch DG-R Cust Fcst'!$D34*'Non-Residential TSM UC Adj'!J35</f>
        <v>0</v>
      </c>
      <c r="K35" s="23">
        <f>'Sch DG-R Cust Fcst'!$D34*'Non-Residential TSM UC Adj'!K35</f>
        <v>0</v>
      </c>
      <c r="L35" s="23">
        <f>'Sch DG-R Cust Fcst'!$D34*'Non-Residential TSM UC Adj'!L35</f>
        <v>0</v>
      </c>
      <c r="M35" s="45">
        <f>IF(SUM(J35:L35)=0,0,SUM(J35:L35)/'Sch DG-R Cust Fcst'!D34)</f>
        <v>0</v>
      </c>
      <c r="N35" s="137">
        <f>'Sch DG-R Cust Fcst'!$E34*'Non-Residential TSM UC Adj'!N35</f>
        <v>0</v>
      </c>
      <c r="O35" s="23">
        <f>'Sch DG-R Cust Fcst'!$E34*'Non-Residential TSM UC Adj'!O35</f>
        <v>0</v>
      </c>
      <c r="P35" s="23">
        <f>'Sch DG-R Cust Fcst'!$E34*'Non-Residential TSM UC Adj'!P35</f>
        <v>0</v>
      </c>
      <c r="Q35" s="45">
        <f>IF(SUM(N35:P35)=0,0,SUM(N35:P35)/'Sch DG-R Cust Fcst'!E34)</f>
        <v>0</v>
      </c>
      <c r="R35" s="137">
        <f t="shared" si="1"/>
        <v>0</v>
      </c>
      <c r="S35" s="23">
        <f t="shared" si="2"/>
        <v>0</v>
      </c>
      <c r="T35" s="23">
        <f t="shared" si="3"/>
        <v>0</v>
      </c>
      <c r="U35" s="45">
        <f>IF(SUM(R35:T35)=0,0,SUM(R35:T35)/'Sch DG-R Cust Fcst'!F34)</f>
        <v>0</v>
      </c>
      <c r="V35" s="37">
        <f>'Sch DG-R Cust Fcst'!$G34*'Non-Residential TSM UC Adj'!R35</f>
        <v>0</v>
      </c>
      <c r="W35" s="37">
        <f>'Sch DG-R Cust Fcst'!$G34*'Non-Residential TSM UC Adj'!S35</f>
        <v>0</v>
      </c>
      <c r="X35" s="37">
        <f>'Sch DG-R Cust Fcst'!$G34*'Non-Residential TSM UC Adj'!T35</f>
        <v>0</v>
      </c>
      <c r="Y35" s="45">
        <f>IF(SUM(V35:X35)=0,0,SUM(V35:X35)/'Sch DG-R Cust Fcst'!G34)</f>
        <v>0</v>
      </c>
      <c r="Z35" s="23">
        <f t="shared" si="4"/>
        <v>0</v>
      </c>
      <c r="AA35" s="23">
        <f t="shared" si="4"/>
        <v>0</v>
      </c>
      <c r="AB35" s="23">
        <f t="shared" si="4"/>
        <v>0</v>
      </c>
      <c r="AC35" s="45">
        <f>IF(SUM(Z35:AB35)=0,0,SUM(Z35:AB35)/'Sch DG-R Cust Fcst'!H34)</f>
        <v>0</v>
      </c>
    </row>
    <row r="36" spans="1:29">
      <c r="A36" s="155" t="s">
        <v>26</v>
      </c>
      <c r="B36" s="137">
        <f>'Sch DG-R Cust Fcst'!$B35*'Non-Residential TSM UC Adj'!J36</f>
        <v>0</v>
      </c>
      <c r="C36" s="23">
        <f>'Sch DG-R Cust Fcst'!$B35*'Non-Residential TSM UC Adj'!K36</f>
        <v>0</v>
      </c>
      <c r="D36" s="23">
        <f>'Sch DG-R Cust Fcst'!$B35*'Non-Residential TSM UC Adj'!L36</f>
        <v>0</v>
      </c>
      <c r="E36" s="45">
        <f>IF(SUM(B36:D36)=0,0,SUM(B36:D36)/'Sch DG-R Cust Fcst'!B35)</f>
        <v>0</v>
      </c>
      <c r="F36" s="137">
        <f>'Sch DG-R Cust Fcst'!$C35*'Non-Residential TSM UC Adj'!J36</f>
        <v>0</v>
      </c>
      <c r="G36" s="23">
        <f>'Sch DG-R Cust Fcst'!$C35*'Non-Residential TSM UC Adj'!K36</f>
        <v>0</v>
      </c>
      <c r="H36" s="23">
        <f>'Sch DG-R Cust Fcst'!$C35*'Non-Residential TSM UC Adj'!L36</f>
        <v>0</v>
      </c>
      <c r="I36" s="45">
        <f>IF(SUM(F36:H36)=0,0,SUM(F36:H36)/'Sch DG-R Cust Fcst'!C35)</f>
        <v>0</v>
      </c>
      <c r="J36" s="137">
        <f>'Sch DG-R Cust Fcst'!$D35*'Non-Residential TSM UC Adj'!J36</f>
        <v>0</v>
      </c>
      <c r="K36" s="23">
        <f>'Sch DG-R Cust Fcst'!$D35*'Non-Residential TSM UC Adj'!K36</f>
        <v>0</v>
      </c>
      <c r="L36" s="23">
        <f>'Sch DG-R Cust Fcst'!$D35*'Non-Residential TSM UC Adj'!L36</f>
        <v>0</v>
      </c>
      <c r="M36" s="45">
        <f>IF(SUM(J36:L36)=0,0,SUM(J36:L36)/'Sch DG-R Cust Fcst'!D35)</f>
        <v>0</v>
      </c>
      <c r="N36" s="137">
        <f>'Sch DG-R Cust Fcst'!$E35*'Non-Residential TSM UC Adj'!N36</f>
        <v>0</v>
      </c>
      <c r="O36" s="23">
        <f>'Sch DG-R Cust Fcst'!$E35*'Non-Residential TSM UC Adj'!O36</f>
        <v>0</v>
      </c>
      <c r="P36" s="23">
        <f>'Sch DG-R Cust Fcst'!$E35*'Non-Residential TSM UC Adj'!P36</f>
        <v>0</v>
      </c>
      <c r="Q36" s="45">
        <f>IF(SUM(N36:P36)=0,0,SUM(N36:P36)/'Sch DG-R Cust Fcst'!E35)</f>
        <v>0</v>
      </c>
      <c r="R36" s="137">
        <f t="shared" si="1"/>
        <v>0</v>
      </c>
      <c r="S36" s="23">
        <f t="shared" si="2"/>
        <v>0</v>
      </c>
      <c r="T36" s="23">
        <f t="shared" si="3"/>
        <v>0</v>
      </c>
      <c r="U36" s="45">
        <f>IF(SUM(R36:T36)=0,0,SUM(R36:T36)/'Sch DG-R Cust Fcst'!F35)</f>
        <v>0</v>
      </c>
      <c r="V36" s="37">
        <f>'Sch DG-R Cust Fcst'!$G35*'Non-Residential TSM UC Adj'!R36</f>
        <v>0</v>
      </c>
      <c r="W36" s="37">
        <f>'Sch DG-R Cust Fcst'!$G35*'Non-Residential TSM UC Adj'!S36</f>
        <v>0</v>
      </c>
      <c r="X36" s="37">
        <f>'Sch DG-R Cust Fcst'!$G35*'Non-Residential TSM UC Adj'!T36</f>
        <v>0</v>
      </c>
      <c r="Y36" s="45">
        <f>IF(SUM(V36:X36)=0,0,SUM(V36:X36)/'Sch DG-R Cust Fcst'!G35)</f>
        <v>0</v>
      </c>
      <c r="Z36" s="23">
        <f t="shared" si="4"/>
        <v>0</v>
      </c>
      <c r="AA36" s="23">
        <f t="shared" si="4"/>
        <v>0</v>
      </c>
      <c r="AB36" s="23">
        <f t="shared" si="4"/>
        <v>0</v>
      </c>
      <c r="AC36" s="45">
        <f>IF(SUM(Z36:AB36)=0,0,SUM(Z36:AB36)/'Sch DG-R Cust Fcst'!H35)</f>
        <v>0</v>
      </c>
    </row>
    <row r="37" spans="1:29">
      <c r="A37" s="155" t="s">
        <v>27</v>
      </c>
      <c r="B37" s="137">
        <f>'Sch DG-R Cust Fcst'!$B36*'Non-Residential TSM UC Adj'!J37</f>
        <v>0</v>
      </c>
      <c r="C37" s="23">
        <f>'Sch DG-R Cust Fcst'!$B36*'Non-Residential TSM UC Adj'!K37</f>
        <v>0</v>
      </c>
      <c r="D37" s="23">
        <f>'Sch DG-R Cust Fcst'!$B36*'Non-Residential TSM UC Adj'!L37</f>
        <v>0</v>
      </c>
      <c r="E37" s="45">
        <f>IF(SUM(B37:D37)=0,0,SUM(B37:D37)/'Sch DG-R Cust Fcst'!B36)</f>
        <v>0</v>
      </c>
      <c r="F37" s="137">
        <f>'Sch DG-R Cust Fcst'!$C36*'Non-Residential TSM UC Adj'!J37</f>
        <v>0</v>
      </c>
      <c r="G37" s="23">
        <f>'Sch DG-R Cust Fcst'!$C36*'Non-Residential TSM UC Adj'!K37</f>
        <v>0</v>
      </c>
      <c r="H37" s="23">
        <f>'Sch DG-R Cust Fcst'!$C36*'Non-Residential TSM UC Adj'!L37</f>
        <v>0</v>
      </c>
      <c r="I37" s="45">
        <f>IF(SUM(F37:H37)=0,0,SUM(F37:H37)/'Sch DG-R Cust Fcst'!C36)</f>
        <v>0</v>
      </c>
      <c r="J37" s="137">
        <f>'Sch DG-R Cust Fcst'!$D36*'Non-Residential TSM UC Adj'!J37</f>
        <v>0</v>
      </c>
      <c r="K37" s="23">
        <f>'Sch DG-R Cust Fcst'!$D36*'Non-Residential TSM UC Adj'!K37</f>
        <v>0</v>
      </c>
      <c r="L37" s="23">
        <f>'Sch DG-R Cust Fcst'!$D36*'Non-Residential TSM UC Adj'!L37</f>
        <v>0</v>
      </c>
      <c r="M37" s="45">
        <f>IF(SUM(J37:L37)=0,0,SUM(J37:L37)/'Sch DG-R Cust Fcst'!D36)</f>
        <v>0</v>
      </c>
      <c r="N37" s="137">
        <f>'Sch DG-R Cust Fcst'!$E36*'Non-Residential TSM UC Adj'!N37</f>
        <v>0</v>
      </c>
      <c r="O37" s="23">
        <f>'Sch DG-R Cust Fcst'!$E36*'Non-Residential TSM UC Adj'!O37</f>
        <v>0</v>
      </c>
      <c r="P37" s="23">
        <f>'Sch DG-R Cust Fcst'!$E36*'Non-Residential TSM UC Adj'!P37</f>
        <v>0</v>
      </c>
      <c r="Q37" s="45">
        <f>IF(SUM(N37:P37)=0,0,SUM(N37:P37)/'Sch DG-R Cust Fcst'!E36)</f>
        <v>0</v>
      </c>
      <c r="R37" s="137">
        <f t="shared" si="1"/>
        <v>0</v>
      </c>
      <c r="S37" s="23">
        <f t="shared" si="2"/>
        <v>0</v>
      </c>
      <c r="T37" s="23">
        <f t="shared" si="3"/>
        <v>0</v>
      </c>
      <c r="U37" s="45">
        <f>IF(SUM(R37:T37)=0,0,SUM(R37:T37)/'Sch DG-R Cust Fcst'!F36)</f>
        <v>0</v>
      </c>
      <c r="V37" s="37">
        <f>'Sch DG-R Cust Fcst'!$G36*'Non-Residential TSM UC Adj'!R37</f>
        <v>0</v>
      </c>
      <c r="W37" s="37">
        <f>'Sch DG-R Cust Fcst'!$G36*'Non-Residential TSM UC Adj'!S37</f>
        <v>0</v>
      </c>
      <c r="X37" s="37">
        <f>'Sch DG-R Cust Fcst'!$G36*'Non-Residential TSM UC Adj'!T37</f>
        <v>0</v>
      </c>
      <c r="Y37" s="45">
        <f>IF(SUM(V37:X37)=0,0,SUM(V37:X37)/'Sch DG-R Cust Fcst'!G36)</f>
        <v>0</v>
      </c>
      <c r="Z37" s="23">
        <f t="shared" si="4"/>
        <v>0</v>
      </c>
      <c r="AA37" s="23">
        <f t="shared" si="4"/>
        <v>0</v>
      </c>
      <c r="AB37" s="23">
        <f t="shared" si="4"/>
        <v>0</v>
      </c>
      <c r="AC37" s="45">
        <f>IF(SUM(Z37:AB37)=0,0,SUM(Z37:AB37)/'Sch DG-R Cust Fcst'!H36)</f>
        <v>0</v>
      </c>
    </row>
    <row r="38" spans="1:29" ht="13.5" thickBot="1">
      <c r="A38" s="11"/>
      <c r="B38" s="15"/>
      <c r="C38" s="32"/>
      <c r="D38" s="32"/>
      <c r="E38" s="106"/>
      <c r="F38" s="137"/>
      <c r="G38" s="23"/>
      <c r="H38" s="23"/>
      <c r="I38" s="45"/>
      <c r="J38" s="137"/>
      <c r="K38" s="23"/>
      <c r="L38" s="23"/>
      <c r="M38" s="45"/>
      <c r="N38" s="137"/>
      <c r="O38" s="23"/>
      <c r="P38" s="23"/>
      <c r="Q38" s="45"/>
      <c r="R38" s="137"/>
      <c r="S38" s="23"/>
      <c r="T38" s="23"/>
      <c r="U38" s="45"/>
      <c r="V38" s="23"/>
      <c r="W38" s="23"/>
      <c r="X38" s="23"/>
      <c r="Y38" s="14"/>
      <c r="Z38" s="23"/>
      <c r="AA38" s="23"/>
      <c r="AB38" s="23"/>
      <c r="AC38" s="14"/>
    </row>
    <row r="39" spans="1:29" ht="13.5" thickBot="1">
      <c r="A39" s="280" t="s">
        <v>2</v>
      </c>
      <c r="B39" s="317">
        <f>IF(SUM(B$7:B$37)=0,0,SUM(B$7:B$37)/'Sch DG-R Cust Fcst'!$B38)</f>
        <v>4188.6206025256124</v>
      </c>
      <c r="C39" s="318">
        <f>IF(SUM(C$7:C$37)=0,0,SUM(C$7:C$37)/'Sch DG-R Cust Fcst'!$B38)</f>
        <v>367.90021387090599</v>
      </c>
      <c r="D39" s="318">
        <f>IF(SUM(D$7:D$37)=0,0,SUM(D$7:D$37)/'Sch DG-R Cust Fcst'!$B38)</f>
        <v>234.29973156037585</v>
      </c>
      <c r="E39" s="319">
        <f>SUM(B39:D39)</f>
        <v>4790.8205479568942</v>
      </c>
      <c r="F39" s="317">
        <f>IF(SUM(F$7:F$37)=0,0,SUM(F$7:F$37)/'Sch DG-R Cust Fcst'!$C38)</f>
        <v>13067.087475835806</v>
      </c>
      <c r="G39" s="318">
        <f>IF(SUM(G$7:G$37)=0,0,SUM(G$7:G$37)/'Sch DG-R Cust Fcst'!$C38)</f>
        <v>1210.8613767957645</v>
      </c>
      <c r="H39" s="318">
        <f>IF(SUM(H$7:H$37)=0,0,SUM(H$7:H$37)/'Sch DG-R Cust Fcst'!$C38)</f>
        <v>301.76349896014176</v>
      </c>
      <c r="I39" s="319">
        <f>SUM(F39:H39)</f>
        <v>14579.712351591712</v>
      </c>
      <c r="J39" s="317">
        <f>IF(SUM(J$7:J$37)=0,0,SUM(J$7:J$37)/'Sch DG-R Cust Fcst'!$D38)</f>
        <v>13552.811035761841</v>
      </c>
      <c r="K39" s="318">
        <f>IF(SUM(K$7:K$37)=0,0,SUM(K$7:K$37)/'Sch DG-R Cust Fcst'!$D38)</f>
        <v>1407.8912393338637</v>
      </c>
      <c r="L39" s="318">
        <f>IF(SUM(L$7:L$37)=0,0,SUM(L$7:L$37)/'Sch DG-R Cust Fcst'!$D38)</f>
        <v>366.33361552480045</v>
      </c>
      <c r="M39" s="319">
        <f>SUM(J39:L39)</f>
        <v>15327.035890620504</v>
      </c>
      <c r="N39" s="317">
        <f>IF(SUM(N$7:N$37)=0,0,SUM(N$7:N$37)/'Sch DG-R Cust Fcst'!$E38)</f>
        <v>13744.920982662867</v>
      </c>
      <c r="O39" s="318">
        <f>IF(SUM(O$7:O$37)=0,0,SUM(O$7:O$37)/'Sch DG-R Cust Fcst'!$E38)</f>
        <v>2352.4675621656424</v>
      </c>
      <c r="P39" s="318">
        <f>IF(SUM(P$7:P$37)=0,0,SUM(P$7:P$37)/'Sch DG-R Cust Fcst'!$E38)</f>
        <v>672.0089821574943</v>
      </c>
      <c r="Q39" s="319">
        <f>SUM(N39:P39)</f>
        <v>16769.397526986002</v>
      </c>
      <c r="R39" s="317">
        <f>IF(SUM(R$7:R$37)=0,0,SUM(R$7:R$37)/'Sch DG-R Cust Fcst'!$F38)</f>
        <v>13418.075155346531</v>
      </c>
      <c r="S39" s="318">
        <f>IF(SUM(S$7:S$37)=0,0,SUM(S$7:S$37)/'Sch DG-R Cust Fcst'!$F38)</f>
        <v>1758.0773057774097</v>
      </c>
      <c r="T39" s="318">
        <f>IF(SUM(T$7:T$37)=0,0,SUM(T$7:T$37)/'Sch DG-R Cust Fcst'!$F38)</f>
        <v>483.77841468985451</v>
      </c>
      <c r="U39" s="319">
        <f>SUM(R39:T39)</f>
        <v>15659.930875813794</v>
      </c>
      <c r="V39" s="317">
        <f>IF(SUM(V$7:V$37)=0,0,SUM(V$7:V$37)/'Sch DG-R Cust Fcst'!$G38)</f>
        <v>0</v>
      </c>
      <c r="W39" s="318">
        <f>IF(SUM(W$7:W$37)=0,0,SUM(W$7:W$37)/'Sch DG-R Cust Fcst'!$G38)</f>
        <v>3129.9273129422195</v>
      </c>
      <c r="X39" s="318">
        <f>IF(SUM(X$7:X$37)=0,0,SUM(X$7:X$37)/'Sch DG-R Cust Fcst'!$G38)</f>
        <v>967.82163835260417</v>
      </c>
      <c r="Y39" s="319">
        <f>SUM(V39:X39)</f>
        <v>4097.7489512948232</v>
      </c>
      <c r="Z39" s="317">
        <f>IF(SUM(Z$7:Z$37)=0,0,SUM(Z$7:Z$37)/'Sch DG-R Cust Fcst'!$H38)</f>
        <v>13150.782821574689</v>
      </c>
      <c r="AA39" s="318">
        <f>IF(SUM(AA$7:AA$37)=0,0,SUM(AA$7:AA$37)/'Sch DG-R Cust Fcst'!$H38)</f>
        <v>1785.4049951631628</v>
      </c>
      <c r="AB39" s="318">
        <f>IF(SUM(AB$7:AB$37)=0,0,SUM(AB$7:AB$37)/'Sch DG-R Cust Fcst'!$H38)</f>
        <v>493.42070998194129</v>
      </c>
      <c r="AC39" s="319">
        <f>SUM(Z39:AB39)</f>
        <v>15429.608526719792</v>
      </c>
    </row>
    <row r="40" spans="1:29">
      <c r="A40" s="21" t="s">
        <v>185</v>
      </c>
      <c r="B40" s="137">
        <f>IF(SUM(B$7:B$20)=0,0,SUM(B$7:B$20)/'Sch DG-R Cust Fcst'!$B39)</f>
        <v>4188.6206025256124</v>
      </c>
      <c r="C40" s="23">
        <f>IF(SUM(C$7:C$20)=0,0,SUM(C$7:C$20)/'Sch DG-R Cust Fcst'!$B39)</f>
        <v>367.90021387090599</v>
      </c>
      <c r="D40" s="23">
        <f>IF(SUM(D$7:D$20)=0,0,SUM(D$7:D$20)/'Sch DG-R Cust Fcst'!$B39)</f>
        <v>234.29973156037585</v>
      </c>
      <c r="E40" s="45">
        <f>SUM(B40:D40)</f>
        <v>4790.8205479568942</v>
      </c>
      <c r="F40" s="137">
        <f>IF(SUM(F$7:F$20)=0,0,SUM(F$7:F$20)/'Sch DG-R Cust Fcst'!$C39)</f>
        <v>13067.087475835806</v>
      </c>
      <c r="G40" s="23">
        <f>IF(SUM(G$7:G$20)=0,0,SUM(G$7:G$20)/'Sch DG-R Cust Fcst'!$C39)</f>
        <v>1210.8613767957645</v>
      </c>
      <c r="H40" s="23">
        <f>IF(SUM(H$7:H$20)=0,0,SUM(H$7:H$20)/'Sch DG-R Cust Fcst'!$C39)</f>
        <v>301.76349896014176</v>
      </c>
      <c r="I40" s="45">
        <f>SUM(F40:H40)</f>
        <v>14579.712351591712</v>
      </c>
      <c r="J40" s="137">
        <f>IF(SUM(J$7:J$20)=0,0,SUM(J$7:J$20)/'Sch DG-R Cust Fcst'!$D39)</f>
        <v>13552.811035761841</v>
      </c>
      <c r="K40" s="23">
        <f>IF(SUM(K$7:K$20)=0,0,SUM(K$7:K$20)/'Sch DG-R Cust Fcst'!$D39)</f>
        <v>1407.8912393338637</v>
      </c>
      <c r="L40" s="23">
        <f>IF(SUM(L$7:L$20)=0,0,SUM(L$7:L$20)/'Sch DG-R Cust Fcst'!$D39)</f>
        <v>366.33361552480045</v>
      </c>
      <c r="M40" s="45">
        <f>SUM(J40:L40)</f>
        <v>15327.035890620504</v>
      </c>
      <c r="N40" s="137">
        <f>IF(SUM(N$7:N$20)=0,0,SUM(N$7:N$20)/'Sch DG-R Cust Fcst'!$E39)</f>
        <v>11923.484641545348</v>
      </c>
      <c r="O40" s="23">
        <f>IF(SUM(O$7:O$20)=0,0,SUM(O$7:O$20)/'Sch DG-R Cust Fcst'!$E39)</f>
        <v>1840.9898659633236</v>
      </c>
      <c r="P40" s="23">
        <f>IF(SUM(P$7:P$20)=0,0,SUM(P$7:P$20)/'Sch DG-R Cust Fcst'!$E39)</f>
        <v>652.64229534409446</v>
      </c>
      <c r="Q40" s="45">
        <f>SUM(N40:P40)</f>
        <v>14417.116802852766</v>
      </c>
      <c r="R40" s="137">
        <f>IF(SUM(R$7:R$20)=0,0,SUM(R$7:R$20)/'Sch DG-R Cust Fcst'!$F39)</f>
        <v>12713.978601986097</v>
      </c>
      <c r="S40" s="23">
        <f>IF(SUM(S$7:S$20)=0,0,SUM(S$7:S$20)/'Sch DG-R Cust Fcst'!$F39)</f>
        <v>1541.2734873567224</v>
      </c>
      <c r="T40" s="23">
        <f>IF(SUM(T$7:T$20)=0,0,SUM(T$7:T$20)/'Sch DG-R Cust Fcst'!$F39)</f>
        <v>469.27598042650118</v>
      </c>
      <c r="U40" s="45">
        <f>SUM(R40:T40)</f>
        <v>14724.52806976932</v>
      </c>
      <c r="V40" s="137">
        <f>IF(SUM(V$7:V$20)=0,0,SUM(V$7:V$20)/'Sch DG-R Cust Fcst'!$G39)</f>
        <v>0</v>
      </c>
      <c r="W40" s="23">
        <f>IF(SUM(W$7:W$20)=0,0,SUM(W$7:W$20)/'Sch DG-R Cust Fcst'!$G39)</f>
        <v>3129.9273129422195</v>
      </c>
      <c r="X40" s="23">
        <f>IF(SUM(X$7:X$20)=0,0,SUM(X$7:X$20)/'Sch DG-R Cust Fcst'!$G39)</f>
        <v>967.82163835260417</v>
      </c>
      <c r="Y40" s="45">
        <f>SUM(V40:X40)</f>
        <v>4097.7489512948232</v>
      </c>
      <c r="Z40" s="137">
        <f>IF(SUM(Z$7:Z$20)=0,0,SUM(Z$7:Z$20)/'Sch DG-R Cust Fcst'!$H39)</f>
        <v>12607.585475609643</v>
      </c>
      <c r="AA40" s="23">
        <f>IF(SUM(AA$7:AA$20)=0,0,SUM(AA$7:AA$20)/'Sch DG-R Cust Fcst'!$H39)</f>
        <v>1554.5676616294045</v>
      </c>
      <c r="AB40" s="23">
        <f>IF(SUM(AB$7:AB$20)=0,0,SUM(AB$7:AB$20)/'Sch DG-R Cust Fcst'!$H39)</f>
        <v>473.44791061835144</v>
      </c>
      <c r="AC40" s="45">
        <f>SUM(Z40:AB40)</f>
        <v>14635.601047857399</v>
      </c>
    </row>
    <row r="41" spans="1:29">
      <c r="A41" s="21" t="s">
        <v>183</v>
      </c>
      <c r="B41" s="137">
        <f>IF(SUM(B$21:B$34)=0,0,SUM(B$21:B$34)/'Sch DG-R Cust Fcst'!$B40)</f>
        <v>0</v>
      </c>
      <c r="C41" s="23">
        <f>IF(SUM(C$21:C$34)=0,0,SUM(C$21:C$34)/'Sch DG-R Cust Fcst'!$B40)</f>
        <v>0</v>
      </c>
      <c r="D41" s="23">
        <f>IF(SUM(D$21:D$34)=0,0,SUM(D$21:D$34)/'Sch DG-R Cust Fcst'!$B40)</f>
        <v>0</v>
      </c>
      <c r="E41" s="45">
        <f>SUM(B41:D41)</f>
        <v>0</v>
      </c>
      <c r="F41" s="137">
        <f>IF(SUM(F$21:F$34)=0,0,SUM(F$21:F$34)/'Sch DG-R Cust Fcst'!$C40)</f>
        <v>0</v>
      </c>
      <c r="G41" s="23">
        <f>IF(SUM(G$21:G$34)=0,0,SUM(G$21:G$34)/'Sch DG-R Cust Fcst'!$C40)</f>
        <v>0</v>
      </c>
      <c r="H41" s="23">
        <f>IF(SUM(H$21:H$34)=0,0,SUM(H$21:H$34)/'Sch DG-R Cust Fcst'!$C40)</f>
        <v>0</v>
      </c>
      <c r="I41" s="45">
        <f>SUM(F41:H41)</f>
        <v>0</v>
      </c>
      <c r="J41" s="137">
        <f>IF(SUM(J$21:J$34)=0,0,SUM(J$21:J$34)/'Sch DG-R Cust Fcst'!$D40)</f>
        <v>0</v>
      </c>
      <c r="K41" s="23">
        <f>IF(SUM(K$21:K$34)=0,0,SUM(K$21:K$34)/'Sch DG-R Cust Fcst'!$D40)</f>
        <v>0</v>
      </c>
      <c r="L41" s="23">
        <f>IF(SUM(L$21:L$34)=0,0,SUM(L$21:L$34)/'Sch DG-R Cust Fcst'!$D40)</f>
        <v>0</v>
      </c>
      <c r="M41" s="45">
        <f>SUM(J41:L41)</f>
        <v>0</v>
      </c>
      <c r="N41" s="137">
        <f>IF(SUM(N$21:N$34)=0,0,SUM(N$21:N$34)/'Sch DG-R Cust Fcst'!$E40)</f>
        <v>31959.284393838007</v>
      </c>
      <c r="O41" s="23">
        <f>IF(SUM(O$21:O$34)=0,0,SUM(O$21:O$34)/'Sch DG-R Cust Fcst'!$E40)</f>
        <v>7467.2445241888327</v>
      </c>
      <c r="P41" s="23">
        <f>IF(SUM(P$21:P$34)=0,0,SUM(P$21:P$34)/'Sch DG-R Cust Fcst'!$E40)</f>
        <v>865.67585029149427</v>
      </c>
      <c r="Q41" s="45">
        <f>SUM(N41:P41)</f>
        <v>40292.204768318334</v>
      </c>
      <c r="R41" s="137">
        <f>IF(SUM(R$21:R$34)=0,0,SUM(R$21:R$34)/'Sch DG-R Cust Fcst'!$F40)</f>
        <v>31959.284393838007</v>
      </c>
      <c r="S41" s="23">
        <f>IF(SUM(S$21:S$34)=0,0,SUM(S$21:S$34)/'Sch DG-R Cust Fcst'!$F40)</f>
        <v>7467.2445241888327</v>
      </c>
      <c r="T41" s="23">
        <f>IF(SUM(T$21:T$34)=0,0,SUM(T$21:T$34)/'Sch DG-R Cust Fcst'!$F40)</f>
        <v>865.67585029149427</v>
      </c>
      <c r="U41" s="45">
        <f>SUM(R41:T41)</f>
        <v>40292.204768318334</v>
      </c>
      <c r="V41" s="137">
        <f>IF(SUM(V$21:V$34)=0,0,SUM(V$21:V$34)/'Sch DG-R Cust Fcst'!$G40)</f>
        <v>0</v>
      </c>
      <c r="W41" s="23">
        <f>IF(SUM(W$21:W$34)=0,0,SUM(W$21:W$34)/'Sch DG-R Cust Fcst'!$G40)</f>
        <v>3129.9273129422195</v>
      </c>
      <c r="X41" s="23">
        <f>IF(SUM(X$21:X$34)=0,0,SUM(X$21:X$34)/'Sch DG-R Cust Fcst'!$G40)</f>
        <v>967.82163835260417</v>
      </c>
      <c r="Y41" s="45">
        <f>SUM(V41:X41)</f>
        <v>4097.7489512948232</v>
      </c>
      <c r="Z41" s="137">
        <f>IF(SUM(Z$21:Z$34)=0,0,SUM(Z$21:Z$34)/'Sch DG-R Cust Fcst'!$H40)</f>
        <v>23969.463295378504</v>
      </c>
      <c r="AA41" s="23">
        <f>IF(SUM(AA$21:AA$34)=0,0,SUM(AA$21:AA$34)/'Sch DG-R Cust Fcst'!$H40)</f>
        <v>6382.9152213771804</v>
      </c>
      <c r="AB41" s="23">
        <f>IF(SUM(AB$21:AB$34)=0,0,SUM(AB$21:AB$34)/'Sch DG-R Cust Fcst'!$H40)</f>
        <v>891.21229730677169</v>
      </c>
      <c r="AC41" s="45">
        <f>SUM(Z41:AB41)</f>
        <v>31243.590814062456</v>
      </c>
    </row>
    <row r="42" spans="1:29" ht="13.5" thickBot="1">
      <c r="A42" s="323" t="s">
        <v>184</v>
      </c>
      <c r="B42" s="244">
        <f>IF(SUM(B$35:B$37)=0,0,SUM(B$35:B$37)/'Sch DG-R Cust Fcst'!$B41)</f>
        <v>0</v>
      </c>
      <c r="C42" s="240">
        <f>IF(SUM(C$35:C$37)=0,0,SUM(C$35:C$37)/'Sch DG-R Cust Fcst'!$B41)</f>
        <v>0</v>
      </c>
      <c r="D42" s="240">
        <f>IF(SUM(D$35:D$37)=0,0,SUM(D$35:D$37)/'Sch DG-R Cust Fcst'!$B41)</f>
        <v>0</v>
      </c>
      <c r="E42" s="249">
        <f>SUM(B42:D42)</f>
        <v>0</v>
      </c>
      <c r="F42" s="244">
        <f>IF(SUM(F$35:F$37)=0,0,SUM(F$35:F$37)/'Sch DG-R Cust Fcst'!$C41)</f>
        <v>0</v>
      </c>
      <c r="G42" s="240">
        <f>IF(SUM(G$35:G$37)=0,0,SUM(G$35:G$37)/'Sch DG-R Cust Fcst'!$C41)</f>
        <v>0</v>
      </c>
      <c r="H42" s="240">
        <f>IF(SUM(H$35:H$37)=0,0,SUM(H$35:H$37)/'Sch DG-R Cust Fcst'!$C41)</f>
        <v>0</v>
      </c>
      <c r="I42" s="249">
        <f>SUM(F42:H42)</f>
        <v>0</v>
      </c>
      <c r="J42" s="244">
        <f>IF(SUM(J$35:J$37)=0,0,SUM(J$35:J$37)/'Sch DG-R Cust Fcst'!$D41)</f>
        <v>0</v>
      </c>
      <c r="K42" s="240">
        <f>IF(SUM(K$35:K$37)=0,0,SUM(K$35:K$37)/'Sch DG-R Cust Fcst'!$D41)</f>
        <v>0</v>
      </c>
      <c r="L42" s="240">
        <f>IF(SUM(L$35:L$37)=0,0,SUM(L$35:L$37)/'Sch DG-R Cust Fcst'!$D41)</f>
        <v>0</v>
      </c>
      <c r="M42" s="249">
        <f>SUM(J42:L42)</f>
        <v>0</v>
      </c>
      <c r="N42" s="244">
        <f>IF(SUM(N$35:N$37)=0,0,SUM(N$35:N$37)/'Sch DG-R Cust Fcst'!$E41)</f>
        <v>0</v>
      </c>
      <c r="O42" s="240">
        <f>IF(SUM(O$35:O$37)=0,0,SUM(O$35:O$37)/'Sch DG-R Cust Fcst'!$E41)</f>
        <v>0</v>
      </c>
      <c r="P42" s="240">
        <f>IF(SUM(P$35:P$37)=0,0,SUM(P$35:P$37)/'Sch DG-R Cust Fcst'!$E41)</f>
        <v>0</v>
      </c>
      <c r="Q42" s="249">
        <f>SUM(N42:P42)</f>
        <v>0</v>
      </c>
      <c r="R42" s="244">
        <f>IF(SUM(R$35:R$37)=0,0,SUM(R$35:R$37)/'Sch DG-R Cust Fcst'!$F41)</f>
        <v>0</v>
      </c>
      <c r="S42" s="240">
        <f>IF(SUM(S$35:S$37)=0,0,SUM(S$35:S$37)/'Sch DG-R Cust Fcst'!$F41)</f>
        <v>0</v>
      </c>
      <c r="T42" s="240">
        <f>IF(SUM(T$35:T$37)=0,0,SUM(T$35:T$37)/'Sch DG-R Cust Fcst'!$F41)</f>
        <v>0</v>
      </c>
      <c r="U42" s="249">
        <f>SUM(R42:T42)</f>
        <v>0</v>
      </c>
      <c r="V42" s="244">
        <f>IF(SUM(V$35:V$37)=0,0,SUM(V$35:V$37)/'Sch DG-R Cust Fcst'!$G41)</f>
        <v>0</v>
      </c>
      <c r="W42" s="240">
        <f>IF(SUM(W$35:W$37)=0,0,SUM(W$35:W$37)/'Sch DG-R Cust Fcst'!$G41)</f>
        <v>0</v>
      </c>
      <c r="X42" s="240">
        <f>IF(SUM(X$35:X$37)=0,0,SUM(X$35:X$37)/'Sch DG-R Cust Fcst'!$C41)</f>
        <v>0</v>
      </c>
      <c r="Y42" s="249">
        <f>SUM(V42:X42)</f>
        <v>0</v>
      </c>
      <c r="Z42" s="244">
        <f>IF(SUM(Z$35:Z$37)=0,0,SUM(Z$35:Z$37)/'Sch DG-R Cust Fcst'!$H41)</f>
        <v>0</v>
      </c>
      <c r="AA42" s="240">
        <f>IF(SUM(AA$35:AA$37)=0,0,SUM(AA$35:AA$37)/'Sch DG-R Cust Fcst'!$H41)</f>
        <v>0</v>
      </c>
      <c r="AB42" s="240">
        <f>IF(SUM(AB$35:AB$37)=0,0,SUM(AB$35:AB$37)/'Sch DG-R Cust Fcst'!$H41)</f>
        <v>0</v>
      </c>
      <c r="AC42" s="249">
        <f>SUM(Z42:AB42)</f>
        <v>0</v>
      </c>
    </row>
    <row r="43" spans="1:29"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</row>
    <row r="44" spans="1:29">
      <c r="A44" s="340" t="s">
        <v>102</v>
      </c>
      <c r="B44" s="340"/>
      <c r="C44" s="340"/>
      <c r="D44" s="340"/>
      <c r="E44" s="391">
        <f>IF(SUM(B7:D37)=0,0,SUM(B7:D37)/'Sch DG-R Cust Fcst'!B38)-E39</f>
        <v>0</v>
      </c>
      <c r="F44" s="18"/>
      <c r="G44" s="18"/>
      <c r="H44" s="18"/>
      <c r="I44" s="391">
        <f>IF(SUM(F7:H37)=0,0,SUM(F7:H37)/'Sch DG-R Cust Fcst'!C38)-I39</f>
        <v>0</v>
      </c>
      <c r="J44" s="18"/>
      <c r="K44" s="18"/>
      <c r="L44" s="18"/>
      <c r="M44" s="391">
        <f>IF(SUM(J7:L37)=0,0,SUM(J7:L37)/'Sch DG-R Cust Fcst'!D38)-M39</f>
        <v>0</v>
      </c>
      <c r="N44" s="18"/>
      <c r="O44" s="18"/>
      <c r="P44" s="18"/>
      <c r="Q44" s="391">
        <f>IF(SUM(N7:P37)=0,0,SUM(N7:P37)/'Sch DG-R Cust Fcst'!E38)-Q39</f>
        <v>0</v>
      </c>
      <c r="R44" s="18"/>
      <c r="S44" s="18"/>
      <c r="T44" s="18"/>
      <c r="U44" s="391">
        <f>IF(SUM(R7:T37)=0,0,SUM(R7:T37)/'Sch DG-R Cust Fcst'!F38)-U39</f>
        <v>0</v>
      </c>
      <c r="V44" s="18"/>
      <c r="W44" s="18"/>
      <c r="X44" s="18"/>
      <c r="Y44" s="391">
        <f>IF(SUM(V7:X37)=0,0,SUM(V7:X37)/'Sch DG-R Cust Fcst'!G38)-Y39</f>
        <v>0</v>
      </c>
      <c r="Z44" s="18"/>
      <c r="AA44" s="18"/>
      <c r="AB44" s="18"/>
      <c r="AC44" s="391">
        <f>IF(SUM(Z7:AB37)=0,0,SUM(Z7:AB37)/'Sch DG-R Cust Fcst'!H38)-AC39</f>
        <v>0</v>
      </c>
    </row>
    <row r="45" spans="1:29">
      <c r="E45" s="391">
        <f>IF(SUM(B7:D20)=0,0,SUM(B7:D20)/'Sch DG-R Cust Fcst'!B39)-E40</f>
        <v>0</v>
      </c>
      <c r="I45" s="391">
        <f>IF(SUM(F7:H20)=0,0,SUM(F7:H20)/'Sch DG-R Cust Fcst'!C39)-I40</f>
        <v>0</v>
      </c>
      <c r="M45" s="391">
        <f>IF(SUM(J7:L20)=0,0,SUM(J7:L20)/'Sch DG-R Cust Fcst'!D39)-M40</f>
        <v>0</v>
      </c>
      <c r="Q45" s="391">
        <f>IF(SUM(N7:P20)=0,0,SUM(N7:P20)/'Sch DG-R Cust Fcst'!E39)-Q40</f>
        <v>0</v>
      </c>
      <c r="U45" s="391">
        <f>IF(SUM(R7:T20)=0,0,SUM(R7:T20)/'Sch DG-R Cust Fcst'!F39)-U40</f>
        <v>0</v>
      </c>
      <c r="Y45" s="391">
        <f>IF(SUM(V7:X20)=0,0,SUM(V7:X20)/'Sch DG-R Cust Fcst'!G39)-Y40</f>
        <v>0</v>
      </c>
      <c r="AC45" s="391">
        <f>IF(SUM(Z7:AB20)=0,0,SUM(Z7:AB20)/'Sch DG-R Cust Fcst'!H39)-AC40</f>
        <v>0</v>
      </c>
    </row>
    <row r="46" spans="1:29">
      <c r="E46" s="391">
        <f>IF(SUM(B21:D34)=0,0,SUM(B21:D34)/'Sch DG-R Cust Fcst'!B40)-E41</f>
        <v>0</v>
      </c>
      <c r="I46" s="391">
        <f>IF(SUM(F21:H34)=0,0,SUM(F21:H34)/'Sch DG-R Cust Fcst'!C40)-I41</f>
        <v>0</v>
      </c>
      <c r="M46" s="391">
        <f>IF(SUM(J21:L34)=0,0,SUM(J21:L34)/'Sch DG-R Cust Fcst'!D40)-M41</f>
        <v>0</v>
      </c>
      <c r="Q46" s="391">
        <f>IF(SUM(N21:P34)=0,0,SUM(N21:P34)/'Sch DG-R Cust Fcst'!E40)-Q41</f>
        <v>0</v>
      </c>
      <c r="U46" s="391">
        <f>IF(SUM(R21:T34)=0,0,SUM(R21:T34)/'Sch DG-R Cust Fcst'!F40)-U41</f>
        <v>0</v>
      </c>
      <c r="Y46" s="391">
        <f>IF(SUM(V21:X34)=0,0,SUM(V21:X34)/'Sch DG-R Cust Fcst'!G40)-Y41</f>
        <v>0</v>
      </c>
      <c r="AC46" s="391">
        <f>IF(SUM(Z21:AB34)=0,0,SUM(Z21:AB34)/'Sch DG-R Cust Fcst'!H40)-AC41</f>
        <v>0</v>
      </c>
    </row>
    <row r="47" spans="1:29">
      <c r="E47" s="391">
        <f>IF(SUM(B35:D37)=0,0,SUM(B35:D37)/'Sch DG-R Cust Fcst'!B41)-E42</f>
        <v>0</v>
      </c>
      <c r="I47" s="391">
        <f>IF(SUM(F35:H37)=0,0,SUM(F35:H37)/'Sch DG-R Cust Fcst'!C41)-I42</f>
        <v>0</v>
      </c>
      <c r="M47" s="391">
        <f>IF(SUM(J35:L37)=0,0,SUM(J35:L37)/'Sch DG-R Cust Fcst'!D41)-M42</f>
        <v>0</v>
      </c>
      <c r="Q47" s="391">
        <f>IF(SUM(N35:P37)=0,0,SUM(N35:P37)/'Sch DG-R Cust Fcst'!E41)-Q42</f>
        <v>0</v>
      </c>
      <c r="U47" s="391">
        <f>IF(SUM(R35:T37)=0,0,SUM(R35:T37)/'Sch DG-R Cust Fcst'!F41)-U42</f>
        <v>0</v>
      </c>
      <c r="Y47" s="391">
        <f>IF(SUM(V35:X37)=0,0,SUM(V35:X37)/'Sch DG-R Cust Fcst'!G41)-Y42</f>
        <v>0</v>
      </c>
      <c r="AC47" s="391">
        <f>IF(SUM(Z35:AB37)=0,0,SUM(Z35:AB37)/'Sch DG-R Cust Fcst'!H41)-AC42</f>
        <v>0</v>
      </c>
    </row>
    <row r="48" spans="1:29">
      <c r="A48" s="19"/>
      <c r="B48" s="19"/>
      <c r="C48" s="19"/>
      <c r="D48" s="19"/>
      <c r="E48" s="19"/>
    </row>
    <row r="60" spans="1:5">
      <c r="A60" s="19"/>
      <c r="B60" s="19"/>
      <c r="C60" s="19"/>
      <c r="D60" s="19"/>
      <c r="E60" s="19"/>
    </row>
  </sheetData>
  <mergeCells count="11">
    <mergeCell ref="Z3:AC3"/>
    <mergeCell ref="A1:Y1"/>
    <mergeCell ref="F2:U2"/>
    <mergeCell ref="V2:Y2"/>
    <mergeCell ref="Z2:AC2"/>
    <mergeCell ref="F3:I3"/>
    <mergeCell ref="J3:M3"/>
    <mergeCell ref="N3:Q3"/>
    <mergeCell ref="R3:U3"/>
    <mergeCell ref="V3:Y3"/>
    <mergeCell ref="B3:E3"/>
  </mergeCells>
  <printOptions horizontalCentered="1"/>
  <pageMargins left="0.75" right="0.75" top="1" bottom="1" header="0.5" footer="0.5"/>
  <pageSetup scale="44" orientation="portrait" r:id="rId1"/>
  <headerFooter alignWithMargins="0">
    <oddFooter>&amp;L&amp;F
&amp;A&amp;R&amp;P of &amp;N</oddFooter>
  </headerFooter>
  <colBreaks count="1" manualBreakCount="1">
    <brk id="17" max="41" man="1"/>
  </colBreak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sheetPr codeName="Sheet45">
    <tabColor rgb="FFFFC000"/>
    <pageSetUpPr fitToPage="1"/>
  </sheetPr>
  <dimension ref="A1:M56"/>
  <sheetViews>
    <sheetView zoomScaleNormal="100" workbookViewId="0">
      <selection activeCell="A24" sqref="A24:A26"/>
    </sheetView>
  </sheetViews>
  <sheetFormatPr defaultRowHeight="12.75"/>
  <cols>
    <col min="1" max="1" width="40.7109375" customWidth="1"/>
    <col min="2" max="2" width="10.28515625" style="12" customWidth="1"/>
    <col min="3" max="3" width="17.140625" style="12" bestFit="1" customWidth="1"/>
    <col min="4" max="4" width="13.5703125" style="12" customWidth="1"/>
    <col min="5" max="5" width="14.7109375" style="12" bestFit="1" customWidth="1"/>
    <col min="6" max="6" width="13.7109375" style="12" bestFit="1" customWidth="1"/>
    <col min="7" max="7" width="17.140625" style="12" bestFit="1" customWidth="1"/>
    <col min="8" max="8" width="8.7109375" style="12" bestFit="1" customWidth="1"/>
    <col min="9" max="9" width="13.7109375" style="12" bestFit="1" customWidth="1"/>
    <col min="10" max="10" width="14.85546875" bestFit="1" customWidth="1"/>
    <col min="11" max="11" width="17.140625" bestFit="1" customWidth="1"/>
    <col min="12" max="12" width="13.5703125" customWidth="1"/>
    <col min="13" max="13" width="14.7109375" bestFit="1" customWidth="1"/>
  </cols>
  <sheetData>
    <row r="1" spans="1:13" ht="18.75" thickBot="1">
      <c r="A1" s="826" t="s">
        <v>193</v>
      </c>
      <c r="B1" s="826"/>
      <c r="C1" s="826"/>
      <c r="D1" s="826"/>
      <c r="E1" s="826"/>
      <c r="F1" s="826"/>
      <c r="G1" s="826"/>
      <c r="H1" s="826"/>
      <c r="I1" s="826"/>
      <c r="J1" s="826"/>
      <c r="K1" s="826"/>
      <c r="L1" s="826"/>
      <c r="M1" s="826"/>
    </row>
    <row r="2" spans="1:13" ht="13.5" thickBot="1">
      <c r="A2" s="131"/>
      <c r="B2" s="836" t="s">
        <v>0</v>
      </c>
      <c r="C2" s="830"/>
      <c r="D2" s="830"/>
      <c r="E2" s="831"/>
      <c r="F2" s="827" t="s">
        <v>1</v>
      </c>
      <c r="G2" s="828"/>
      <c r="H2" s="828"/>
      <c r="I2" s="829"/>
      <c r="J2" s="827" t="s">
        <v>190</v>
      </c>
      <c r="K2" s="828"/>
      <c r="L2" s="828"/>
      <c r="M2" s="829"/>
    </row>
    <row r="3" spans="1:13" ht="13.5" thickBot="1">
      <c r="A3" s="102" t="s">
        <v>47</v>
      </c>
      <c r="B3" s="402" t="s">
        <v>189</v>
      </c>
      <c r="C3" s="403" t="s">
        <v>139</v>
      </c>
      <c r="D3" s="403" t="s">
        <v>100</v>
      </c>
      <c r="E3" s="613" t="s">
        <v>167</v>
      </c>
      <c r="F3" s="402" t="s">
        <v>189</v>
      </c>
      <c r="G3" s="403" t="s">
        <v>139</v>
      </c>
      <c r="H3" s="403" t="s">
        <v>100</v>
      </c>
      <c r="I3" s="613" t="s">
        <v>168</v>
      </c>
      <c r="J3" s="402" t="s">
        <v>189</v>
      </c>
      <c r="K3" s="403" t="s">
        <v>139</v>
      </c>
      <c r="L3" s="403" t="s">
        <v>100</v>
      </c>
      <c r="M3" s="613" t="s">
        <v>2</v>
      </c>
    </row>
    <row r="4" spans="1:13">
      <c r="A4" s="516"/>
      <c r="B4" s="132"/>
      <c r="C4" s="8"/>
      <c r="D4" s="8"/>
      <c r="E4" s="8"/>
      <c r="F4" s="5"/>
      <c r="G4" s="6"/>
      <c r="H4" s="6"/>
      <c r="I4" s="7"/>
      <c r="J4" s="5"/>
      <c r="K4" s="6"/>
      <c r="L4" s="6"/>
      <c r="M4" s="7"/>
    </row>
    <row r="5" spans="1:13">
      <c r="A5" s="145"/>
      <c r="B5" s="132"/>
      <c r="C5" s="8"/>
      <c r="D5" s="8"/>
      <c r="E5" s="8"/>
      <c r="F5" s="132"/>
      <c r="G5" s="8"/>
      <c r="H5" s="8"/>
      <c r="I5" s="9"/>
      <c r="J5" s="132"/>
      <c r="K5" s="8"/>
      <c r="L5" s="8"/>
      <c r="M5" s="9"/>
    </row>
    <row r="6" spans="1:13">
      <c r="A6" s="145" t="s">
        <v>49</v>
      </c>
      <c r="B6" s="142"/>
      <c r="C6" s="34"/>
      <c r="D6" s="34"/>
      <c r="E6" s="34"/>
      <c r="F6" s="142"/>
      <c r="G6" s="34"/>
      <c r="H6" s="34"/>
      <c r="I6" s="44"/>
      <c r="J6" s="142"/>
      <c r="K6" s="34"/>
      <c r="L6" s="34"/>
      <c r="M6" s="44"/>
    </row>
    <row r="7" spans="1:13">
      <c r="A7" s="517"/>
      <c r="B7" s="142"/>
      <c r="C7" s="34"/>
      <c r="D7" s="34"/>
      <c r="E7" s="34"/>
      <c r="F7" s="142"/>
      <c r="G7" s="34"/>
      <c r="H7" s="34"/>
      <c r="I7" s="44"/>
      <c r="J7" s="142"/>
      <c r="K7" s="34"/>
      <c r="L7" s="34"/>
      <c r="M7" s="44"/>
    </row>
    <row r="8" spans="1:13">
      <c r="A8" s="145" t="s">
        <v>53</v>
      </c>
      <c r="B8" s="143">
        <f>'Sch DG-R TSM'!R40</f>
        <v>12713.978601986097</v>
      </c>
      <c r="C8" s="163">
        <f>'Sch DG-R TSM'!R41</f>
        <v>31959.284393838007</v>
      </c>
      <c r="D8" s="163"/>
      <c r="E8" s="163">
        <f>'Sch DG-R TSM'!R39</f>
        <v>13418.075155346531</v>
      </c>
      <c r="F8" s="143">
        <f>'Sch DG-R TSM'!V40</f>
        <v>0</v>
      </c>
      <c r="G8" s="163">
        <f>'Sch DG-R TSM'!V41</f>
        <v>0</v>
      </c>
      <c r="H8" s="163"/>
      <c r="I8" s="49">
        <f>'Sch DG-R TSM'!V39</f>
        <v>0</v>
      </c>
      <c r="J8" s="143">
        <f>'Sch DG-R TSM'!Z40</f>
        <v>12607.585475609643</v>
      </c>
      <c r="K8" s="163">
        <f>'Sch DG-R TSM'!Z41</f>
        <v>23969.463295378504</v>
      </c>
      <c r="L8" s="163"/>
      <c r="M8" s="49">
        <f>'Sch DG-R TSM'!Z39</f>
        <v>13150.782821574689</v>
      </c>
    </row>
    <row r="9" spans="1:13">
      <c r="A9" s="145" t="s">
        <v>51</v>
      </c>
      <c r="B9" s="143">
        <f>'Sch DG-R TSM'!S40</f>
        <v>1541.2734873567224</v>
      </c>
      <c r="C9" s="163">
        <f>'Sch DG-R TSM'!S41</f>
        <v>7467.2445241888327</v>
      </c>
      <c r="D9" s="163"/>
      <c r="E9" s="163">
        <f>'Sch DG-R TSM'!S39</f>
        <v>1758.0773057774097</v>
      </c>
      <c r="F9" s="143">
        <f>'Sch DG-R TSM'!W40</f>
        <v>3129.9273129422195</v>
      </c>
      <c r="G9" s="163">
        <f>'Sch DG-R TSM'!W41</f>
        <v>3129.9273129422195</v>
      </c>
      <c r="H9" s="163"/>
      <c r="I9" s="49">
        <f>'Sch DG-R TSM'!W39</f>
        <v>3129.9273129422195</v>
      </c>
      <c r="J9" s="143">
        <f>'Sch DG-R TSM'!AA40</f>
        <v>1554.5676616294045</v>
      </c>
      <c r="K9" s="163">
        <f>'Sch DG-R TSM'!AA41</f>
        <v>6382.9152213771804</v>
      </c>
      <c r="L9" s="163"/>
      <c r="M9" s="49">
        <f>'Sch DG-R TSM'!AA39</f>
        <v>1785.4049951631628</v>
      </c>
    </row>
    <row r="10" spans="1:13">
      <c r="A10" s="145" t="s">
        <v>52</v>
      </c>
      <c r="B10" s="143">
        <f>'Sch DG-R TSM'!T40</f>
        <v>469.27598042650118</v>
      </c>
      <c r="C10" s="163">
        <f>'Sch DG-R TSM'!T41</f>
        <v>865.67585029149427</v>
      </c>
      <c r="D10" s="163"/>
      <c r="E10" s="163">
        <f>'Sch DG-R TSM'!T39</f>
        <v>483.77841468985451</v>
      </c>
      <c r="F10" s="143">
        <f>'Sch DG-R TSM'!X40</f>
        <v>967.82163835260417</v>
      </c>
      <c r="G10" s="163">
        <f>'Sch DG-R TSM'!X41</f>
        <v>967.82163835260417</v>
      </c>
      <c r="H10" s="163"/>
      <c r="I10" s="49">
        <f>'Sch DG-R TSM'!X39</f>
        <v>967.82163835260417</v>
      </c>
      <c r="J10" s="143">
        <f>'Sch DG-R TSM'!AB40</f>
        <v>473.44791061835144</v>
      </c>
      <c r="K10" s="163">
        <f>'Sch DG-R TSM'!AB41</f>
        <v>891.21229730677169</v>
      </c>
      <c r="L10" s="163"/>
      <c r="M10" s="49">
        <f>'Sch DG-R TSM'!AB39</f>
        <v>493.42070998194129</v>
      </c>
    </row>
    <row r="11" spans="1:13">
      <c r="A11" s="518"/>
      <c r="B11" s="142"/>
      <c r="C11" s="34"/>
      <c r="D11" s="34"/>
      <c r="E11" s="34"/>
      <c r="F11" s="142"/>
      <c r="G11" s="34"/>
      <c r="H11" s="34"/>
      <c r="I11" s="44"/>
      <c r="J11" s="142"/>
      <c r="K11" s="34"/>
      <c r="L11" s="34"/>
      <c r="M11" s="44"/>
    </row>
    <row r="12" spans="1:13">
      <c r="A12" s="145" t="s">
        <v>35</v>
      </c>
      <c r="B12" s="142">
        <f t="shared" ref="B12:M12" si="0">SUM(B8:B10)</f>
        <v>14724.52806976932</v>
      </c>
      <c r="C12" s="34">
        <f t="shared" si="0"/>
        <v>40292.204768318334</v>
      </c>
      <c r="D12" s="34"/>
      <c r="E12" s="34">
        <f t="shared" si="0"/>
        <v>15659.930875813794</v>
      </c>
      <c r="F12" s="142">
        <f t="shared" si="0"/>
        <v>4097.7489512948232</v>
      </c>
      <c r="G12" s="34">
        <f t="shared" si="0"/>
        <v>4097.7489512948232</v>
      </c>
      <c r="H12" s="34"/>
      <c r="I12" s="44">
        <f t="shared" si="0"/>
        <v>4097.7489512948232</v>
      </c>
      <c r="J12" s="142">
        <f t="shared" si="0"/>
        <v>14635.601047857399</v>
      </c>
      <c r="K12" s="34">
        <f t="shared" si="0"/>
        <v>31243.590814062456</v>
      </c>
      <c r="L12" s="34"/>
      <c r="M12" s="44">
        <f t="shared" si="0"/>
        <v>15429.608526719792</v>
      </c>
    </row>
    <row r="13" spans="1:13">
      <c r="A13" s="518"/>
      <c r="B13" s="142"/>
      <c r="C13" s="34"/>
      <c r="D13" s="34"/>
      <c r="E13" s="34"/>
      <c r="F13" s="142"/>
      <c r="G13" s="34"/>
      <c r="H13" s="34"/>
      <c r="I13" s="44"/>
      <c r="J13" s="142"/>
      <c r="K13" s="34"/>
      <c r="L13" s="34"/>
      <c r="M13" s="44"/>
    </row>
    <row r="14" spans="1:13">
      <c r="A14" s="145" t="s">
        <v>65</v>
      </c>
      <c r="B14" s="142"/>
      <c r="C14" s="34"/>
      <c r="D14" s="34"/>
      <c r="E14" s="34"/>
      <c r="F14" s="142"/>
      <c r="G14" s="34"/>
      <c r="H14" s="34"/>
      <c r="I14" s="44"/>
      <c r="J14" s="142"/>
      <c r="K14" s="34"/>
      <c r="L14" s="34"/>
      <c r="M14" s="44"/>
    </row>
    <row r="15" spans="1:13">
      <c r="A15" s="519">
        <f>Inputs!C3</f>
        <v>2.7723662892949787E-2</v>
      </c>
      <c r="B15" s="142"/>
      <c r="C15" s="34"/>
      <c r="D15" s="34"/>
      <c r="E15" s="34"/>
      <c r="F15" s="142"/>
      <c r="G15" s="34"/>
      <c r="H15" s="34"/>
      <c r="I15" s="44"/>
      <c r="J15" s="142"/>
      <c r="K15" s="34"/>
      <c r="L15" s="34"/>
      <c r="M15" s="44"/>
    </row>
    <row r="16" spans="1:13">
      <c r="A16" s="40" t="s">
        <v>64</v>
      </c>
      <c r="B16" s="142"/>
      <c r="C16" s="34"/>
      <c r="D16" s="34"/>
      <c r="E16" s="34"/>
      <c r="F16" s="142"/>
      <c r="G16" s="34"/>
      <c r="H16" s="34"/>
      <c r="I16" s="44"/>
      <c r="J16" s="142"/>
      <c r="K16" s="34"/>
      <c r="L16" s="34"/>
      <c r="M16" s="44"/>
    </row>
    <row r="17" spans="1:13">
      <c r="A17" s="53">
        <f>Inputs!C4</f>
        <v>1.5023E-2</v>
      </c>
      <c r="B17" s="142"/>
      <c r="C17" s="34"/>
      <c r="D17" s="34"/>
      <c r="E17" s="34"/>
      <c r="F17" s="142"/>
      <c r="G17" s="34"/>
      <c r="H17" s="34"/>
      <c r="I17" s="44"/>
      <c r="J17" s="142"/>
      <c r="K17" s="34"/>
      <c r="L17" s="34"/>
      <c r="M17" s="44"/>
    </row>
    <row r="18" spans="1:13">
      <c r="A18" s="520" t="s">
        <v>111</v>
      </c>
      <c r="B18" s="142">
        <f t="shared" ref="B18:E20" si="1">(B8*(1+$A$15)*(1+$A$17))</f>
        <v>13262.754037160525</v>
      </c>
      <c r="C18" s="34">
        <f t="shared" si="1"/>
        <v>33338.747955177649</v>
      </c>
      <c r="D18" s="34"/>
      <c r="E18" s="34">
        <f t="shared" si="1"/>
        <v>13997.241619527003</v>
      </c>
      <c r="F18" s="142">
        <f t="shared" ref="F18:M18" si="2">(F8*(1+$A$15)*(1+$A$17))</f>
        <v>0</v>
      </c>
      <c r="G18" s="34">
        <f t="shared" si="2"/>
        <v>0</v>
      </c>
      <c r="H18" s="34"/>
      <c r="I18" s="44">
        <f t="shared" si="2"/>
        <v>0</v>
      </c>
      <c r="J18" s="142">
        <f t="shared" si="2"/>
        <v>13151.768647728219</v>
      </c>
      <c r="K18" s="34">
        <f t="shared" si="2"/>
        <v>25004.060966383237</v>
      </c>
      <c r="L18" s="34"/>
      <c r="M18" s="44">
        <f t="shared" si="2"/>
        <v>13718.412105193796</v>
      </c>
    </row>
    <row r="19" spans="1:13">
      <c r="A19" s="520" t="s">
        <v>51</v>
      </c>
      <c r="B19" s="142">
        <f t="shared" si="1"/>
        <v>1607.7997145296126</v>
      </c>
      <c r="C19" s="34">
        <f t="shared" si="1"/>
        <v>7789.5543605979847</v>
      </c>
      <c r="D19" s="34"/>
      <c r="E19" s="34">
        <f t="shared" si="1"/>
        <v>1833.9614698735779</v>
      </c>
      <c r="F19" s="142">
        <f t="shared" ref="F19:M19" si="3">(F9*(1+$A$15)*(1+$A$17))</f>
        <v>3265.0248521936915</v>
      </c>
      <c r="G19" s="34">
        <f t="shared" si="3"/>
        <v>3265.0248521936915</v>
      </c>
      <c r="H19" s="34"/>
      <c r="I19" s="44">
        <f t="shared" si="3"/>
        <v>3265.0248521936915</v>
      </c>
      <c r="J19" s="142">
        <f t="shared" si="3"/>
        <v>1621.6677073134126</v>
      </c>
      <c r="K19" s="34">
        <f t="shared" si="3"/>
        <v>6658.4219834969117</v>
      </c>
      <c r="L19" s="34"/>
      <c r="M19" s="44">
        <f t="shared" si="3"/>
        <v>1862.4687085652133</v>
      </c>
    </row>
    <row r="20" spans="1:13">
      <c r="A20" s="520" t="s">
        <v>52</v>
      </c>
      <c r="B20" s="142">
        <f t="shared" si="1"/>
        <v>489.53141253295684</v>
      </c>
      <c r="C20" s="34">
        <f t="shared" si="1"/>
        <v>903.04115161341849</v>
      </c>
      <c r="D20" s="34"/>
      <c r="E20" s="34">
        <f t="shared" si="1"/>
        <v>504.65981762126631</v>
      </c>
      <c r="F20" s="142">
        <f t="shared" ref="F20:M20" si="4">(F10*(1+$A$15)*(1+$A$17))</f>
        <v>1009.5958742062976</v>
      </c>
      <c r="G20" s="34">
        <f t="shared" si="4"/>
        <v>1009.5958742062976</v>
      </c>
      <c r="H20" s="34"/>
      <c r="I20" s="44">
        <f t="shared" si="4"/>
        <v>1009.5958742062976</v>
      </c>
      <c r="J20" s="142">
        <f t="shared" si="4"/>
        <v>493.88341639633211</v>
      </c>
      <c r="K20" s="34">
        <f t="shared" si="4"/>
        <v>929.67983226163824</v>
      </c>
      <c r="L20" s="34"/>
      <c r="M20" s="44">
        <f t="shared" si="4"/>
        <v>514.71830480423523</v>
      </c>
    </row>
    <row r="21" spans="1:13">
      <c r="A21" s="145"/>
      <c r="B21" s="147"/>
      <c r="C21" s="97"/>
      <c r="D21" s="97"/>
      <c r="E21" s="97"/>
      <c r="F21" s="147"/>
      <c r="G21" s="97"/>
      <c r="H21" s="97"/>
      <c r="I21" s="99"/>
      <c r="J21" s="147"/>
      <c r="K21" s="97"/>
      <c r="L21" s="97"/>
      <c r="M21" s="99"/>
    </row>
    <row r="22" spans="1:13">
      <c r="A22" s="145" t="s">
        <v>35</v>
      </c>
      <c r="B22" s="147">
        <f t="shared" ref="B22:M22" si="5">B18+B19+B20</f>
        <v>15360.085164223094</v>
      </c>
      <c r="C22" s="97">
        <f t="shared" si="5"/>
        <v>42031.343467389052</v>
      </c>
      <c r="D22" s="97"/>
      <c r="E22" s="97">
        <f t="shared" si="5"/>
        <v>16335.862907021849</v>
      </c>
      <c r="F22" s="147">
        <f t="shared" si="5"/>
        <v>4274.6207263999895</v>
      </c>
      <c r="G22" s="97">
        <f t="shared" si="5"/>
        <v>4274.6207263999895</v>
      </c>
      <c r="H22" s="97"/>
      <c r="I22" s="99">
        <f t="shared" si="5"/>
        <v>4274.6207263999895</v>
      </c>
      <c r="J22" s="147">
        <f t="shared" si="5"/>
        <v>15267.319771437964</v>
      </c>
      <c r="K22" s="97">
        <f>K18+K19+K20</f>
        <v>32592.162782141786</v>
      </c>
      <c r="L22" s="97"/>
      <c r="M22" s="99">
        <f t="shared" si="5"/>
        <v>16095.599118563245</v>
      </c>
    </row>
    <row r="23" spans="1:13">
      <c r="A23" s="145"/>
      <c r="B23" s="142"/>
      <c r="C23" s="34"/>
      <c r="D23" s="34"/>
      <c r="E23" s="34"/>
      <c r="F23" s="142"/>
      <c r="G23" s="34"/>
      <c r="H23" s="34"/>
      <c r="I23" s="44"/>
      <c r="J23" s="142"/>
      <c r="K23" s="34"/>
      <c r="L23" s="34"/>
      <c r="M23" s="44"/>
    </row>
    <row r="24" spans="1:13">
      <c r="A24" s="806" t="str">
        <f>'Resid TSM Sum by Rate Schedule'!A25</f>
        <v>Annualized Transformer Cost at 8.05%</v>
      </c>
      <c r="B24" s="147">
        <f>B18*Inputs!$C$5</f>
        <v>1067.3687064218495</v>
      </c>
      <c r="C24" s="97">
        <f>C18*Inputs!$C$5</f>
        <v>2683.0578459751432</v>
      </c>
      <c r="D24" s="97"/>
      <c r="E24" s="97">
        <f>E18*Inputs!$C$5</f>
        <v>1126.4792846981895</v>
      </c>
      <c r="F24" s="147">
        <f>F18*Inputs!$C$5</f>
        <v>0</v>
      </c>
      <c r="G24" s="97">
        <f>G18*Inputs!$C$5</f>
        <v>0</v>
      </c>
      <c r="H24" s="97"/>
      <c r="I24" s="99">
        <f>I18*Inputs!$C$5</f>
        <v>0</v>
      </c>
      <c r="J24" s="147">
        <f>J18*Inputs!$C$5</f>
        <v>1058.4367507195745</v>
      </c>
      <c r="K24" s="97">
        <f>K18*Inputs!$C$5</f>
        <v>2012.2933844813572</v>
      </c>
      <c r="L24" s="97"/>
      <c r="M24" s="99">
        <f>M18*Inputs!$C$5</f>
        <v>1104.0394583097793</v>
      </c>
    </row>
    <row r="25" spans="1:13">
      <c r="A25" s="806" t="str">
        <f>'Resid TSM Sum by Rate Schedule'!A26</f>
        <v>Annualized Services Cost at 7.08%</v>
      </c>
      <c r="B25" s="147">
        <f>B19*Inputs!$C$6</f>
        <v>113.79212117013722</v>
      </c>
      <c r="C25" s="97">
        <f>C19*Inputs!$C$6</f>
        <v>551.30617679072304</v>
      </c>
      <c r="D25" s="97"/>
      <c r="E25" s="97">
        <f>E19*Inputs!$C$6</f>
        <v>129.79873296113428</v>
      </c>
      <c r="F25" s="147">
        <f>F19*Inputs!$C$6</f>
        <v>231.08232962526188</v>
      </c>
      <c r="G25" s="97">
        <f>G19*Inputs!$C$6</f>
        <v>231.08232962526188</v>
      </c>
      <c r="H25" s="97"/>
      <c r="I25" s="99">
        <f>I19*Inputs!$C$6</f>
        <v>231.08232962526188</v>
      </c>
      <c r="J25" s="147">
        <f>J19*Inputs!$C$6</f>
        <v>114.7736291906822</v>
      </c>
      <c r="K25" s="97">
        <f>K19*Inputs!$C$6</f>
        <v>471.25021499935775</v>
      </c>
      <c r="L25" s="97"/>
      <c r="M25" s="99">
        <f>M19*Inputs!$C$6</f>
        <v>131.81633448830812</v>
      </c>
    </row>
    <row r="26" spans="1:13" ht="15">
      <c r="A26" s="806" t="str">
        <f>'Resid TSM Sum by Rate Schedule'!A27</f>
        <v>Annualized Meter Cost at 10.78%</v>
      </c>
      <c r="B26" s="628">
        <f>B20*Inputs!$C$7</f>
        <v>52.755062172248643</v>
      </c>
      <c r="C26" s="627">
        <f>C20*Inputs!$C$7</f>
        <v>97.317538523143554</v>
      </c>
      <c r="D26" s="627"/>
      <c r="E26" s="627">
        <f>E20*Inputs!$C$7</f>
        <v>54.385396672891126</v>
      </c>
      <c r="F26" s="628">
        <f>F20*Inputs!$C$7</f>
        <v>108.80056263807836</v>
      </c>
      <c r="G26" s="627">
        <f>G20*Inputs!$C$7</f>
        <v>108.80056263807836</v>
      </c>
      <c r="H26" s="627"/>
      <c r="I26" s="626">
        <f>I20*Inputs!$C$7</f>
        <v>108.80056263807836</v>
      </c>
      <c r="J26" s="628">
        <f>J20*Inputs!$C$7</f>
        <v>53.224062176146802</v>
      </c>
      <c r="K26" s="627">
        <f>K20*Inputs!$C$7</f>
        <v>100.18829455187725</v>
      </c>
      <c r="L26" s="627"/>
      <c r="M26" s="626">
        <f>M20*Inputs!$C$7</f>
        <v>55.469364122396868</v>
      </c>
    </row>
    <row r="27" spans="1:13">
      <c r="A27" s="621" t="s">
        <v>380</v>
      </c>
      <c r="B27" s="147">
        <f>SUM(B24:B26)</f>
        <v>1233.9158897642355</v>
      </c>
      <c r="C27" s="97">
        <f t="shared" ref="C27:M27" si="6">SUM(C24:C26)</f>
        <v>3331.6815612890096</v>
      </c>
      <c r="D27" s="97"/>
      <c r="E27" s="97">
        <f t="shared" si="6"/>
        <v>1310.6634143322149</v>
      </c>
      <c r="F27" s="147">
        <f t="shared" si="6"/>
        <v>339.88289226334024</v>
      </c>
      <c r="G27" s="97">
        <f t="shared" si="6"/>
        <v>339.88289226334024</v>
      </c>
      <c r="H27" s="97"/>
      <c r="I27" s="99">
        <f t="shared" si="6"/>
        <v>339.88289226334024</v>
      </c>
      <c r="J27" s="147">
        <f t="shared" si="6"/>
        <v>1226.4344420864036</v>
      </c>
      <c r="K27" s="97">
        <f t="shared" si="6"/>
        <v>2583.7318940325922</v>
      </c>
      <c r="L27" s="97"/>
      <c r="M27" s="99">
        <f t="shared" si="6"/>
        <v>1291.3251569204842</v>
      </c>
    </row>
    <row r="28" spans="1:13">
      <c r="A28" s="519"/>
      <c r="B28" s="142"/>
      <c r="C28" s="34"/>
      <c r="D28" s="34"/>
      <c r="E28" s="34"/>
      <c r="F28" s="142"/>
      <c r="G28" s="34"/>
      <c r="H28" s="34"/>
      <c r="I28" s="44"/>
      <c r="J28" s="142"/>
      <c r="K28" s="34"/>
      <c r="L28" s="34"/>
      <c r="M28" s="44"/>
    </row>
    <row r="29" spans="1:13">
      <c r="A29" s="145" t="s">
        <v>50</v>
      </c>
      <c r="B29" s="142">
        <f>'Distribution O&amp;M Allocations'!$V$20</f>
        <v>160.57759733389847</v>
      </c>
      <c r="C29" s="34">
        <f>'Distribution O&amp;M Allocations'!$V$20</f>
        <v>160.57759733389847</v>
      </c>
      <c r="D29" s="34"/>
      <c r="E29" s="34">
        <f>'Distribution O&amp;M Allocations'!$V$20</f>
        <v>160.57759733389847</v>
      </c>
      <c r="F29" s="142">
        <f>'Distribution O&amp;M Allocations'!$W$20</f>
        <v>42.018492054309959</v>
      </c>
      <c r="G29" s="34">
        <f>'Distribution O&amp;M Allocations'!$W$20</f>
        <v>42.018492054309959</v>
      </c>
      <c r="H29" s="34"/>
      <c r="I29" s="44">
        <f>'Distribution O&amp;M Allocations'!$W$20</f>
        <v>42.018492054309959</v>
      </c>
      <c r="J29" s="142">
        <f>'Distribution O&amp;M Allocations'!$W$24</f>
        <v>158.21586216896645</v>
      </c>
      <c r="K29" s="34">
        <f>'Distribution O&amp;M Allocations'!$W$24</f>
        <v>158.21586216896645</v>
      </c>
      <c r="L29" s="34"/>
      <c r="M29" s="44">
        <f>'Distribution O&amp;M Allocations'!$W$24</f>
        <v>158.21586216896645</v>
      </c>
    </row>
    <row r="30" spans="1:13">
      <c r="A30" s="146"/>
      <c r="B30" s="10"/>
      <c r="C30" s="31"/>
      <c r="D30" s="31"/>
      <c r="E30" s="31"/>
      <c r="F30" s="10"/>
      <c r="G30" s="31"/>
      <c r="H30" s="31"/>
      <c r="I30" s="107"/>
      <c r="J30" s="10"/>
      <c r="K30" s="31"/>
      <c r="L30" s="31"/>
      <c r="M30" s="107"/>
    </row>
    <row r="31" spans="1:13">
      <c r="A31" s="145" t="s">
        <v>61</v>
      </c>
      <c r="B31" s="197">
        <f>'Cust Service Cost Allocations'!$AA$76</f>
        <v>447.86258547437507</v>
      </c>
      <c r="C31" s="198">
        <f>'Cust Service Cost Allocations'!$AA$76</f>
        <v>447.86258547437507</v>
      </c>
      <c r="D31" s="198"/>
      <c r="E31" s="198">
        <f>'Cust Service Cost Allocations'!$AA$76</f>
        <v>447.86258547437507</v>
      </c>
      <c r="F31" s="197">
        <f>'Cust Service Cost Allocations'!$AA$76</f>
        <v>447.86258547437507</v>
      </c>
      <c r="G31" s="198">
        <f>'Cust Service Cost Allocations'!$AA$76</f>
        <v>447.86258547437507</v>
      </c>
      <c r="H31" s="198"/>
      <c r="I31" s="382">
        <f>'Cust Service Cost Allocations'!$AA$76</f>
        <v>447.86258547437507</v>
      </c>
      <c r="J31" s="197">
        <f>'Cust Service Cost Allocations'!$AA$76</f>
        <v>447.86258547437507</v>
      </c>
      <c r="K31" s="198">
        <f>'Cust Service Cost Allocations'!$AA$76</f>
        <v>447.86258547437507</v>
      </c>
      <c r="L31" s="198"/>
      <c r="M31" s="382">
        <f>'Cust Service Cost Allocations'!$AA$76</f>
        <v>447.86258547437507</v>
      </c>
    </row>
    <row r="32" spans="1:13" ht="13.5" thickBot="1">
      <c r="A32" s="146"/>
      <c r="B32" s="142"/>
      <c r="C32" s="34"/>
      <c r="D32" s="34"/>
      <c r="E32" s="34"/>
      <c r="F32" s="144"/>
      <c r="G32" s="115"/>
      <c r="H32" s="115"/>
      <c r="I32" s="116"/>
      <c r="J32" s="144"/>
      <c r="K32" s="115"/>
      <c r="L32" s="115"/>
      <c r="M32" s="116"/>
    </row>
    <row r="33" spans="1:13" ht="13.5" thickBot="1">
      <c r="A33" s="521" t="s">
        <v>165</v>
      </c>
      <c r="B33" s="371">
        <f t="shared" ref="B33:M33" si="7">B27+B29+B31</f>
        <v>1842.356072572509</v>
      </c>
      <c r="C33" s="372">
        <f t="shared" si="7"/>
        <v>3940.1217440972832</v>
      </c>
      <c r="D33" s="372"/>
      <c r="E33" s="383">
        <f t="shared" si="7"/>
        <v>1919.1035971404883</v>
      </c>
      <c r="F33" s="371">
        <f t="shared" si="7"/>
        <v>829.76396979202525</v>
      </c>
      <c r="G33" s="372">
        <f t="shared" si="7"/>
        <v>829.76396979202525</v>
      </c>
      <c r="H33" s="372"/>
      <c r="I33" s="383">
        <f t="shared" si="7"/>
        <v>829.76396979202525</v>
      </c>
      <c r="J33" s="371">
        <f t="shared" si="7"/>
        <v>1832.512889729745</v>
      </c>
      <c r="K33" s="372">
        <f t="shared" si="7"/>
        <v>3189.8103416759336</v>
      </c>
      <c r="L33" s="372"/>
      <c r="M33" s="383">
        <f t="shared" si="7"/>
        <v>1897.4036045638256</v>
      </c>
    </row>
    <row r="34" spans="1:13">
      <c r="B34" s="13"/>
      <c r="C34" s="13"/>
      <c r="D34" s="13"/>
      <c r="E34" s="13"/>
      <c r="F34" s="13"/>
      <c r="G34" s="13"/>
      <c r="H34" s="13"/>
      <c r="I34" s="13"/>
    </row>
    <row r="36" spans="1:13">
      <c r="A36" t="s">
        <v>3</v>
      </c>
    </row>
    <row r="44" spans="1:13">
      <c r="A44" s="19"/>
    </row>
    <row r="56" spans="1:1">
      <c r="A56" s="19"/>
    </row>
  </sheetData>
  <mergeCells count="4">
    <mergeCell ref="A1:M1"/>
    <mergeCell ref="B2:E2"/>
    <mergeCell ref="F2:I2"/>
    <mergeCell ref="J2:M2"/>
  </mergeCells>
  <printOptions horizontalCentered="1"/>
  <pageMargins left="0.75" right="0.75" top="1" bottom="1" header="0.5" footer="0.5"/>
  <pageSetup scale="44" orientation="portrait" r:id="rId1"/>
  <headerFooter alignWithMargins="0">
    <oddFooter>&amp;L&amp;F
&amp;A&amp;R&amp;P of &amp;N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sheetPr codeName="Sheet46">
    <tabColor rgb="FFFFC000"/>
    <pageSetUpPr fitToPage="1"/>
  </sheetPr>
  <dimension ref="A1:M58"/>
  <sheetViews>
    <sheetView zoomScaleNormal="100" workbookViewId="0">
      <selection activeCell="A24" sqref="A24:A26"/>
    </sheetView>
  </sheetViews>
  <sheetFormatPr defaultRowHeight="12.75"/>
  <cols>
    <col min="1" max="1" width="40.7109375" customWidth="1"/>
    <col min="2" max="2" width="10.28515625" style="12" customWidth="1"/>
    <col min="3" max="3" width="14.85546875" style="12" bestFit="1" customWidth="1"/>
    <col min="4" max="4" width="13.5703125" style="12" customWidth="1"/>
    <col min="5" max="5" width="14.7109375" style="12" bestFit="1" customWidth="1"/>
    <col min="6" max="7" width="14" style="12" bestFit="1" customWidth="1"/>
    <col min="8" max="8" width="13.5703125" style="12" customWidth="1"/>
    <col min="9" max="9" width="14" style="12" bestFit="1" customWidth="1"/>
    <col min="10" max="10" width="14.7109375" bestFit="1" customWidth="1"/>
    <col min="11" max="11" width="14.85546875" bestFit="1" customWidth="1"/>
    <col min="12" max="12" width="13.5703125" customWidth="1"/>
    <col min="13" max="13" width="14.85546875" bestFit="1" customWidth="1"/>
  </cols>
  <sheetData>
    <row r="1" spans="1:13" ht="18.75" thickBot="1">
      <c r="A1" s="826" t="s">
        <v>401</v>
      </c>
      <c r="B1" s="826"/>
      <c r="C1" s="826"/>
      <c r="D1" s="826"/>
      <c r="E1" s="826"/>
      <c r="F1" s="826"/>
      <c r="G1" s="826"/>
      <c r="H1" s="826"/>
      <c r="I1" s="826"/>
      <c r="J1" s="826"/>
      <c r="K1" s="826"/>
      <c r="L1" s="826"/>
      <c r="M1" s="826"/>
    </row>
    <row r="2" spans="1:13" ht="13.5" thickBot="1">
      <c r="A2" s="131"/>
      <c r="B2" s="830" t="s">
        <v>0</v>
      </c>
      <c r="C2" s="830"/>
      <c r="D2" s="830"/>
      <c r="E2" s="831"/>
      <c r="F2" s="828" t="s">
        <v>1</v>
      </c>
      <c r="G2" s="828"/>
      <c r="H2" s="828"/>
      <c r="I2" s="829"/>
      <c r="J2" s="828" t="s">
        <v>190</v>
      </c>
      <c r="K2" s="828"/>
      <c r="L2" s="828"/>
      <c r="M2" s="829"/>
    </row>
    <row r="3" spans="1:13" ht="13.5" thickBot="1">
      <c r="A3" s="102" t="s">
        <v>47</v>
      </c>
      <c r="B3" s="403" t="s">
        <v>189</v>
      </c>
      <c r="C3" s="403" t="s">
        <v>183</v>
      </c>
      <c r="D3" s="403" t="s">
        <v>100</v>
      </c>
      <c r="E3" s="613" t="s">
        <v>167</v>
      </c>
      <c r="F3" s="403" t="s">
        <v>189</v>
      </c>
      <c r="G3" s="403" t="s">
        <v>183</v>
      </c>
      <c r="H3" s="403" t="s">
        <v>100</v>
      </c>
      <c r="I3" s="613" t="s">
        <v>168</v>
      </c>
      <c r="J3" s="403" t="s">
        <v>189</v>
      </c>
      <c r="K3" s="403" t="s">
        <v>183</v>
      </c>
      <c r="L3" s="403" t="s">
        <v>100</v>
      </c>
      <c r="M3" s="613" t="s">
        <v>2</v>
      </c>
    </row>
    <row r="4" spans="1:13">
      <c r="A4" s="39"/>
      <c r="B4" s="5"/>
      <c r="C4" s="6"/>
      <c r="D4" s="6"/>
      <c r="E4" s="7"/>
      <c r="F4" s="6"/>
      <c r="G4" s="6"/>
      <c r="H4" s="6"/>
      <c r="I4" s="6"/>
      <c r="J4" s="5"/>
      <c r="K4" s="6"/>
      <c r="L4" s="6"/>
      <c r="M4" s="7"/>
    </row>
    <row r="5" spans="1:13">
      <c r="A5" s="40"/>
      <c r="B5" s="132"/>
      <c r="C5" s="8"/>
      <c r="D5" s="8"/>
      <c r="E5" s="9"/>
      <c r="F5" s="8"/>
      <c r="G5" s="8"/>
      <c r="H5" s="8"/>
      <c r="I5" s="8"/>
      <c r="J5" s="132"/>
      <c r="K5" s="8"/>
      <c r="L5" s="8"/>
      <c r="M5" s="9"/>
    </row>
    <row r="6" spans="1:13">
      <c r="A6" s="40" t="s">
        <v>49</v>
      </c>
      <c r="B6" s="142"/>
      <c r="C6" s="34"/>
      <c r="D6" s="34"/>
      <c r="E6" s="44"/>
      <c r="F6" s="34"/>
      <c r="G6" s="34"/>
      <c r="H6" s="34"/>
      <c r="I6" s="34"/>
      <c r="J6" s="142"/>
      <c r="K6" s="34"/>
      <c r="L6" s="34"/>
      <c r="M6" s="44"/>
    </row>
    <row r="7" spans="1:13">
      <c r="A7" s="41"/>
      <c r="B7" s="142"/>
      <c r="C7" s="34"/>
      <c r="D7" s="34"/>
      <c r="E7" s="44"/>
      <c r="F7" s="34"/>
      <c r="G7" s="34"/>
      <c r="H7" s="34"/>
      <c r="I7" s="34"/>
      <c r="J7" s="142"/>
      <c r="K7" s="34"/>
      <c r="L7" s="34"/>
      <c r="M7" s="44"/>
    </row>
    <row r="8" spans="1:13">
      <c r="A8" s="40" t="s">
        <v>53</v>
      </c>
      <c r="B8" s="143">
        <f>'Sch DG-R TSM Summary'!B8*Inputs!$C$12</f>
        <v>13796.498409689519</v>
      </c>
      <c r="C8" s="163">
        <f>'Sch DG-R TSM Summary'!C8*Inputs!$C$12</f>
        <v>34680.427749463292</v>
      </c>
      <c r="D8" s="163"/>
      <c r="E8" s="49">
        <f>'Sch DG-R TSM Summary'!E8*Inputs!$C$12</f>
        <v>14560.544605047095</v>
      </c>
      <c r="F8" s="163">
        <f>'Sch DG-R TSM Summary'!F8*Inputs!$C$12</f>
        <v>0</v>
      </c>
      <c r="G8" s="163">
        <f>'Sch DG-R TSM Summary'!G8*Inputs!$C$12</f>
        <v>0</v>
      </c>
      <c r="H8" s="163"/>
      <c r="I8" s="163">
        <f>'Sch DG-R TSM Summary'!I8*Inputs!$C$12</f>
        <v>0</v>
      </c>
      <c r="J8" s="143">
        <f>'Sch DG-R TSM Summary'!J8*Inputs!$C$12</f>
        <v>13681.046540152369</v>
      </c>
      <c r="K8" s="163">
        <f>'Sch DG-R TSM Summary'!K8*Inputs!$C$12</f>
        <v>26010.320812097467</v>
      </c>
      <c r="L8" s="163"/>
      <c r="M8" s="49">
        <f>'Sch DG-R TSM Summary'!M8*Inputs!$C$12</f>
        <v>14270.493915703528</v>
      </c>
    </row>
    <row r="9" spans="1:13">
      <c r="A9" s="40" t="s">
        <v>51</v>
      </c>
      <c r="B9" s="143">
        <f>'Sch DG-R TSM Summary'!B9*Inputs!$C$12</f>
        <v>1672.5037757961843</v>
      </c>
      <c r="C9" s="163">
        <f>'Sch DG-R TSM Summary'!C9*Inputs!$C$12</f>
        <v>8103.0360698137865</v>
      </c>
      <c r="D9" s="163"/>
      <c r="E9" s="49">
        <f>'Sch DG-R TSM Summary'!E9*Inputs!$C$12</f>
        <v>1907.767152406585</v>
      </c>
      <c r="F9" s="163">
        <f>'Sch DG-R TSM Summary'!F9*Inputs!$C$12</f>
        <v>3396.4220443713425</v>
      </c>
      <c r="G9" s="163">
        <f>'Sch DG-R TSM Summary'!G9*Inputs!$C$12</f>
        <v>3396.4220443713425</v>
      </c>
      <c r="H9" s="163"/>
      <c r="I9" s="163">
        <f>'Sch DG-R TSM Summary'!I9*Inputs!$C$12</f>
        <v>3396.4220443713425</v>
      </c>
      <c r="J9" s="143">
        <f>'Sch DG-R TSM Summary'!J9*Inputs!$C$12</f>
        <v>1686.9298700938846</v>
      </c>
      <c r="K9" s="163">
        <f>'Sch DG-R TSM Summary'!K9*Inputs!$C$12</f>
        <v>6926.3825634531768</v>
      </c>
      <c r="L9" s="163"/>
      <c r="M9" s="49">
        <f>'Sch DG-R TSM Summary'!M9*Inputs!$C$12</f>
        <v>1937.4216323262015</v>
      </c>
    </row>
    <row r="10" spans="1:13">
      <c r="A10" s="40" t="s">
        <v>52</v>
      </c>
      <c r="B10" s="143">
        <f>'Sch DG-R TSM Summary'!B10*Inputs!$C$12</f>
        <v>509.23204453469265</v>
      </c>
      <c r="C10" s="163">
        <f>'Sch DG-R TSM Summary'!C10*Inputs!$C$12</f>
        <v>939.38301028660828</v>
      </c>
      <c r="D10" s="163"/>
      <c r="E10" s="49">
        <f>'Sch DG-R TSM Summary'!E10*Inputs!$C$12</f>
        <v>524.96927498903096</v>
      </c>
      <c r="F10" s="163">
        <f>'Sch DG-R TSM Summary'!F10*Inputs!$C$12</f>
        <v>1050.2259058630914</v>
      </c>
      <c r="G10" s="163">
        <f>'Sch DG-R TSM Summary'!G10*Inputs!$C$12</f>
        <v>1050.2259058630914</v>
      </c>
      <c r="H10" s="163"/>
      <c r="I10" s="163">
        <f>'Sch DG-R TSM Summary'!I10*Inputs!$C$12</f>
        <v>1050.2259058630914</v>
      </c>
      <c r="J10" s="143">
        <f>'Sch DG-R TSM Summary'!J10*Inputs!$C$12</f>
        <v>513.75918981777556</v>
      </c>
      <c r="K10" s="163">
        <f>'Sch DG-R TSM Summary'!K10*Inputs!$C$12</f>
        <v>967.09373418072903</v>
      </c>
      <c r="L10" s="163"/>
      <c r="M10" s="49">
        <f>'Sch DG-R TSM Summary'!M10*Inputs!$C$12</f>
        <v>535.43255448851437</v>
      </c>
    </row>
    <row r="11" spans="1:13">
      <c r="A11" s="42"/>
      <c r="B11" s="142"/>
      <c r="C11" s="34"/>
      <c r="D11" s="34"/>
      <c r="E11" s="44"/>
      <c r="F11" s="34"/>
      <c r="G11" s="34"/>
      <c r="H11" s="34"/>
      <c r="I11" s="34"/>
      <c r="J11" s="142"/>
      <c r="K11" s="34"/>
      <c r="L11" s="34"/>
      <c r="M11" s="44"/>
    </row>
    <row r="12" spans="1:13">
      <c r="A12" s="40" t="s">
        <v>35</v>
      </c>
      <c r="B12" s="142">
        <f t="shared" ref="B12:M12" si="0">SUM(B8:B10)</f>
        <v>15978.234230020395</v>
      </c>
      <c r="C12" s="34">
        <f t="shared" si="0"/>
        <v>43722.846829563685</v>
      </c>
      <c r="D12" s="34"/>
      <c r="E12" s="44">
        <f t="shared" si="0"/>
        <v>16993.281032442712</v>
      </c>
      <c r="F12" s="34">
        <f t="shared" si="0"/>
        <v>4446.6479502344337</v>
      </c>
      <c r="G12" s="34">
        <f t="shared" si="0"/>
        <v>4446.6479502344337</v>
      </c>
      <c r="H12" s="34"/>
      <c r="I12" s="34">
        <f t="shared" si="0"/>
        <v>4446.6479502344337</v>
      </c>
      <c r="J12" s="142">
        <f t="shared" si="0"/>
        <v>15881.73560006403</v>
      </c>
      <c r="K12" s="34">
        <f t="shared" si="0"/>
        <v>33903.797109731371</v>
      </c>
      <c r="L12" s="34"/>
      <c r="M12" s="44">
        <f t="shared" si="0"/>
        <v>16743.348102518245</v>
      </c>
    </row>
    <row r="13" spans="1:13">
      <c r="A13" s="42"/>
      <c r="B13" s="142"/>
      <c r="C13" s="34"/>
      <c r="D13" s="34"/>
      <c r="E13" s="44"/>
      <c r="F13" s="34"/>
      <c r="G13" s="34"/>
      <c r="H13" s="34"/>
      <c r="I13" s="34"/>
      <c r="J13" s="142"/>
      <c r="K13" s="34"/>
      <c r="L13" s="34"/>
      <c r="M13" s="44"/>
    </row>
    <row r="14" spans="1:13">
      <c r="A14" s="40" t="s">
        <v>65</v>
      </c>
      <c r="B14" s="142"/>
      <c r="C14" s="34"/>
      <c r="D14" s="34"/>
      <c r="E14" s="44"/>
      <c r="F14" s="34"/>
      <c r="G14" s="34"/>
      <c r="H14" s="34"/>
      <c r="I14" s="34"/>
      <c r="J14" s="142"/>
      <c r="K14" s="34"/>
      <c r="L14" s="34"/>
      <c r="M14" s="44"/>
    </row>
    <row r="15" spans="1:13">
      <c r="A15" s="53">
        <f>Inputs!C3</f>
        <v>2.7723662892949787E-2</v>
      </c>
      <c r="B15" s="142"/>
      <c r="C15" s="34"/>
      <c r="D15" s="34"/>
      <c r="E15" s="44"/>
      <c r="F15" s="34"/>
      <c r="G15" s="34"/>
      <c r="H15" s="34"/>
      <c r="I15" s="34"/>
      <c r="J15" s="142"/>
      <c r="K15" s="34"/>
      <c r="L15" s="34"/>
      <c r="M15" s="44"/>
    </row>
    <row r="16" spans="1:13">
      <c r="A16" s="40" t="s">
        <v>64</v>
      </c>
      <c r="B16" s="142"/>
      <c r="C16" s="34"/>
      <c r="D16" s="34"/>
      <c r="E16" s="44"/>
      <c r="F16" s="34"/>
      <c r="G16" s="34"/>
      <c r="H16" s="34"/>
      <c r="I16" s="34"/>
      <c r="J16" s="142"/>
      <c r="K16" s="34"/>
      <c r="L16" s="34"/>
      <c r="M16" s="44"/>
    </row>
    <row r="17" spans="1:13">
      <c r="A17" s="53">
        <f>Inputs!C4</f>
        <v>1.5023E-2</v>
      </c>
      <c r="B17" s="142"/>
      <c r="C17" s="34"/>
      <c r="D17" s="34"/>
      <c r="E17" s="44"/>
      <c r="F17" s="34"/>
      <c r="G17" s="34"/>
      <c r="H17" s="34"/>
      <c r="I17" s="34"/>
      <c r="J17" s="142"/>
      <c r="K17" s="34"/>
      <c r="L17" s="34"/>
      <c r="M17" s="44"/>
    </row>
    <row r="18" spans="1:13">
      <c r="A18" s="122" t="s">
        <v>111</v>
      </c>
      <c r="B18" s="142">
        <f t="shared" ref="B18:M20" si="1">(B8*(1+$A$15)*(1+$A$17))</f>
        <v>14391.998815634668</v>
      </c>
      <c r="C18" s="34">
        <f t="shared" si="1"/>
        <v>36177.344444546761</v>
      </c>
      <c r="D18" s="34"/>
      <c r="E18" s="34">
        <f t="shared" si="1"/>
        <v>15189.023655716817</v>
      </c>
      <c r="F18" s="142">
        <f t="shared" si="1"/>
        <v>0</v>
      </c>
      <c r="G18" s="34">
        <f t="shared" si="1"/>
        <v>0</v>
      </c>
      <c r="H18" s="34"/>
      <c r="I18" s="44">
        <f t="shared" si="1"/>
        <v>0</v>
      </c>
      <c r="J18" s="142">
        <f t="shared" si="1"/>
        <v>14271.563679102162</v>
      </c>
      <c r="K18" s="34">
        <f t="shared" si="1"/>
        <v>27133.008333410071</v>
      </c>
      <c r="L18" s="34"/>
      <c r="M18" s="44">
        <f t="shared" si="1"/>
        <v>14886.453463371861</v>
      </c>
    </row>
    <row r="19" spans="1:13">
      <c r="A19" s="122" t="s">
        <v>51</v>
      </c>
      <c r="B19" s="142">
        <f t="shared" si="1"/>
        <v>1744.6943163127498</v>
      </c>
      <c r="C19" s="34">
        <f t="shared" si="1"/>
        <v>8452.788675559992</v>
      </c>
      <c r="D19" s="34"/>
      <c r="E19" s="34">
        <f t="shared" si="1"/>
        <v>1990.1124026266739</v>
      </c>
      <c r="F19" s="142">
        <f t="shared" si="1"/>
        <v>3543.0223371502479</v>
      </c>
      <c r="G19" s="34">
        <f t="shared" si="1"/>
        <v>3543.0223371502479</v>
      </c>
      <c r="H19" s="34"/>
      <c r="I19" s="44">
        <f t="shared" si="1"/>
        <v>3543.0223371502479</v>
      </c>
      <c r="J19" s="142">
        <f t="shared" si="1"/>
        <v>1759.7430863615994</v>
      </c>
      <c r="K19" s="34">
        <f t="shared" si="1"/>
        <v>7225.3470909575581</v>
      </c>
      <c r="L19" s="34"/>
      <c r="M19" s="44">
        <f t="shared" si="1"/>
        <v>2021.046863473757</v>
      </c>
    </row>
    <row r="20" spans="1:13">
      <c r="A20" s="122" t="s">
        <v>52</v>
      </c>
      <c r="B20" s="142">
        <f t="shared" si="1"/>
        <v>531.21210644864254</v>
      </c>
      <c r="C20" s="34">
        <f t="shared" si="1"/>
        <v>979.92974521543442</v>
      </c>
      <c r="D20" s="34"/>
      <c r="E20" s="34">
        <f t="shared" si="1"/>
        <v>547.62860542791543</v>
      </c>
      <c r="F20" s="142">
        <f t="shared" si="1"/>
        <v>1095.5569699276041</v>
      </c>
      <c r="G20" s="34">
        <f t="shared" si="1"/>
        <v>1095.5569699276041</v>
      </c>
      <c r="H20" s="34"/>
      <c r="I20" s="44">
        <f t="shared" si="1"/>
        <v>1095.5569699276041</v>
      </c>
      <c r="J20" s="142">
        <f t="shared" si="1"/>
        <v>535.93465760746244</v>
      </c>
      <c r="K20" s="34">
        <f t="shared" si="1"/>
        <v>1008.8365513934767</v>
      </c>
      <c r="L20" s="34"/>
      <c r="M20" s="44">
        <f t="shared" si="1"/>
        <v>558.54351308727189</v>
      </c>
    </row>
    <row r="21" spans="1:13">
      <c r="A21" s="40"/>
      <c r="B21" s="147"/>
      <c r="C21" s="97"/>
      <c r="D21" s="97"/>
      <c r="E21" s="99"/>
      <c r="F21" s="97"/>
      <c r="G21" s="97"/>
      <c r="H21" s="97"/>
      <c r="I21" s="97"/>
      <c r="J21" s="147"/>
      <c r="K21" s="97"/>
      <c r="L21" s="97"/>
      <c r="M21" s="99"/>
    </row>
    <row r="22" spans="1:13">
      <c r="A22" s="40" t="s">
        <v>35</v>
      </c>
      <c r="B22" s="147">
        <f t="shared" ref="B22:M22" si="2">B18+B19+B20</f>
        <v>16667.905238396059</v>
      </c>
      <c r="C22" s="97">
        <f t="shared" si="2"/>
        <v>45610.062865322187</v>
      </c>
      <c r="D22" s="97"/>
      <c r="E22" s="99">
        <f t="shared" si="2"/>
        <v>17726.764663771406</v>
      </c>
      <c r="F22" s="97">
        <f t="shared" si="2"/>
        <v>4638.5793070778518</v>
      </c>
      <c r="G22" s="97">
        <f t="shared" si="2"/>
        <v>4638.5793070778518</v>
      </c>
      <c r="H22" s="97"/>
      <c r="I22" s="97">
        <f t="shared" si="2"/>
        <v>4638.5793070778518</v>
      </c>
      <c r="J22" s="147">
        <f t="shared" si="2"/>
        <v>16567.241423071224</v>
      </c>
      <c r="K22" s="97">
        <f t="shared" si="2"/>
        <v>35367.191975761103</v>
      </c>
      <c r="L22" s="97"/>
      <c r="M22" s="99">
        <f t="shared" si="2"/>
        <v>17466.043839932889</v>
      </c>
    </row>
    <row r="23" spans="1:13">
      <c r="A23" s="40"/>
      <c r="B23" s="142"/>
      <c r="C23" s="34"/>
      <c r="D23" s="34"/>
      <c r="E23" s="44"/>
      <c r="F23" s="34"/>
      <c r="G23" s="34"/>
      <c r="H23" s="34"/>
      <c r="I23" s="34"/>
      <c r="J23" s="142"/>
      <c r="K23" s="34"/>
      <c r="L23" s="34"/>
      <c r="M23" s="44"/>
    </row>
    <row r="24" spans="1:13">
      <c r="A24" s="805" t="str">
        <f>'Resid TSM Sum by Rate Schedule'!A25</f>
        <v>Annualized Transformer Cost at 8.05%</v>
      </c>
      <c r="B24" s="147">
        <f>B18*Inputs!$C$5</f>
        <v>1158.2488158664205</v>
      </c>
      <c r="C24" s="97">
        <f>C18*Inputs!$C$5</f>
        <v>2911.5042949119415</v>
      </c>
      <c r="D24" s="97"/>
      <c r="E24" s="99">
        <f>E18*Inputs!$C$5</f>
        <v>1222.3923090022322</v>
      </c>
      <c r="F24" s="97">
        <f>F18*Inputs!$C$5</f>
        <v>0</v>
      </c>
      <c r="G24" s="97">
        <f>G18*Inputs!$C$5</f>
        <v>0</v>
      </c>
      <c r="H24" s="97"/>
      <c r="I24" s="97">
        <f>I18*Inputs!$C$5</f>
        <v>0</v>
      </c>
      <c r="J24" s="147">
        <f>J18*Inputs!$C$5</f>
        <v>1148.5563571562416</v>
      </c>
      <c r="K24" s="97">
        <f>K18*Inputs!$C$5</f>
        <v>2183.6282211839562</v>
      </c>
      <c r="L24" s="97"/>
      <c r="M24" s="99">
        <f>M18*Inputs!$C$5</f>
        <v>1198.0418645997975</v>
      </c>
    </row>
    <row r="25" spans="1:13">
      <c r="A25" s="805" t="str">
        <f>'Resid TSM Sum by Rate Schedule'!A26</f>
        <v>Annualized Services Cost at 7.08%</v>
      </c>
      <c r="B25" s="147">
        <f>B19*Inputs!$C$6</f>
        <v>123.48084481703864</v>
      </c>
      <c r="C25" s="97">
        <f>C19*Inputs!$C$6</f>
        <v>598.24662518757441</v>
      </c>
      <c r="D25" s="97"/>
      <c r="E25" s="99">
        <f>E19*Inputs!$C$6</f>
        <v>140.85032458669244</v>
      </c>
      <c r="F25" s="97">
        <f>F19*Inputs!$C$6</f>
        <v>250.75761828671364</v>
      </c>
      <c r="G25" s="97">
        <f>G19*Inputs!$C$6</f>
        <v>250.75761828671364</v>
      </c>
      <c r="H25" s="97"/>
      <c r="I25" s="97">
        <f>I19*Inputs!$C$6</f>
        <v>250.75761828671364</v>
      </c>
      <c r="J25" s="147">
        <f>J19*Inputs!$C$6</f>
        <v>124.54592241929535</v>
      </c>
      <c r="K25" s="97">
        <f>K19*Inputs!$C$6</f>
        <v>511.37437346235936</v>
      </c>
      <c r="L25" s="97"/>
      <c r="M25" s="99">
        <f>M19*Inputs!$C$6</f>
        <v>143.03971290740998</v>
      </c>
    </row>
    <row r="26" spans="1:13" ht="15">
      <c r="A26" s="805" t="str">
        <f>'Resid TSM Sum by Rate Schedule'!A27</f>
        <v>Annualized Meter Cost at 10.78%</v>
      </c>
      <c r="B26" s="628">
        <f>B20*Inputs!$C$7</f>
        <v>57.246842561839941</v>
      </c>
      <c r="C26" s="627">
        <f>C20*Inputs!$C$7</f>
        <v>105.60354925087806</v>
      </c>
      <c r="D26" s="627"/>
      <c r="E26" s="626">
        <f>E20*Inputs!$C$7</f>
        <v>59.01599036753646</v>
      </c>
      <c r="F26" s="627">
        <f>F20*Inputs!$C$7</f>
        <v>118.06428470589732</v>
      </c>
      <c r="G26" s="627">
        <f>G20*Inputs!$C$7</f>
        <v>118.06428470589732</v>
      </c>
      <c r="H26" s="627"/>
      <c r="I26" s="627">
        <f>I20*Inputs!$C$7</f>
        <v>118.06428470589732</v>
      </c>
      <c r="J26" s="628">
        <f>J20*Inputs!$C$7</f>
        <v>57.755775132083116</v>
      </c>
      <c r="K26" s="627">
        <f>K20*Inputs!$C$7</f>
        <v>108.71873311463287</v>
      </c>
      <c r="L26" s="627"/>
      <c r="M26" s="626">
        <f>M20*Inputs!$C$7</f>
        <v>60.192251210930117</v>
      </c>
    </row>
    <row r="27" spans="1:13">
      <c r="A27" s="114" t="s">
        <v>380</v>
      </c>
      <c r="B27" s="147">
        <f>SUM(B24:B26)</f>
        <v>1338.976503245299</v>
      </c>
      <c r="C27" s="97">
        <f t="shared" ref="C27:M27" si="3">SUM(C24:C26)</f>
        <v>3615.3544693503941</v>
      </c>
      <c r="D27" s="97"/>
      <c r="E27" s="99">
        <f t="shared" si="3"/>
        <v>1422.2586239564612</v>
      </c>
      <c r="F27" s="97">
        <f t="shared" si="3"/>
        <v>368.82190299261094</v>
      </c>
      <c r="G27" s="97">
        <f t="shared" si="3"/>
        <v>368.82190299261094</v>
      </c>
      <c r="H27" s="97"/>
      <c r="I27" s="97">
        <f t="shared" si="3"/>
        <v>368.82190299261094</v>
      </c>
      <c r="J27" s="147">
        <f t="shared" si="3"/>
        <v>1330.8580547076199</v>
      </c>
      <c r="K27" s="97">
        <f t="shared" si="3"/>
        <v>2803.7213277609485</v>
      </c>
      <c r="L27" s="97"/>
      <c r="M27" s="99">
        <f t="shared" si="3"/>
        <v>1401.2738287181376</v>
      </c>
    </row>
    <row r="28" spans="1:13">
      <c r="A28" s="53"/>
      <c r="B28" s="142"/>
      <c r="C28" s="34"/>
      <c r="D28" s="34"/>
      <c r="E28" s="44"/>
      <c r="F28" s="34"/>
      <c r="G28" s="34"/>
      <c r="H28" s="34"/>
      <c r="I28" s="34"/>
      <c r="J28" s="142"/>
      <c r="K28" s="34"/>
      <c r="L28" s="34"/>
      <c r="M28" s="44"/>
    </row>
    <row r="29" spans="1:13">
      <c r="A29" s="40" t="s">
        <v>50</v>
      </c>
      <c r="B29" s="142">
        <f>'Sch DG-R TSM Summary'!B$29*Inputs!$C$13</f>
        <v>169.17616375870301</v>
      </c>
      <c r="C29" s="34">
        <f>'Sch DG-R TSM Summary'!C$29*Inputs!$C$13</f>
        <v>169.17616375870301</v>
      </c>
      <c r="D29" s="34"/>
      <c r="E29" s="44">
        <f>'Sch DG-R TSM Summary'!E$29*Inputs!$C$13</f>
        <v>169.17616375870301</v>
      </c>
      <c r="F29" s="34">
        <f>'Sch DG-R TSM Summary'!F$29*Inputs!$C$13</f>
        <v>44.268487078508983</v>
      </c>
      <c r="G29" s="34">
        <f>'Sch DG-R TSM Summary'!G$29*Inputs!$C$13</f>
        <v>44.268487078508983</v>
      </c>
      <c r="H29" s="34"/>
      <c r="I29" s="34">
        <f>'Sch DG-R TSM Summary'!I$29*Inputs!$C$13</f>
        <v>44.268487078508983</v>
      </c>
      <c r="J29" s="142">
        <f>'Sch DG-R TSM Summary'!J$29*Inputs!$C$13</f>
        <v>166.6879630280219</v>
      </c>
      <c r="K29" s="34">
        <f>'Sch DG-R TSM Summary'!K$29*Inputs!$C$13</f>
        <v>166.6879630280219</v>
      </c>
      <c r="L29" s="34"/>
      <c r="M29" s="44">
        <f>'Sch DG-R TSM Summary'!M$29*Inputs!$C$13</f>
        <v>166.6879630280219</v>
      </c>
    </row>
    <row r="30" spans="1:13" ht="15">
      <c r="A30" s="40" t="s">
        <v>453</v>
      </c>
      <c r="B30" s="730">
        <f>-Inputs!$C$18</f>
        <v>-3.0284021924274875</v>
      </c>
      <c r="C30" s="729">
        <f>-Inputs!$C$18</f>
        <v>-3.0284021924274875</v>
      </c>
      <c r="D30" s="729"/>
      <c r="E30" s="731">
        <f>-Inputs!$C$18</f>
        <v>-3.0284021924274875</v>
      </c>
      <c r="F30" s="729">
        <f>-Inputs!$C$18</f>
        <v>-3.0284021924274875</v>
      </c>
      <c r="G30" s="729">
        <f>-Inputs!$C$18</f>
        <v>-3.0284021924274875</v>
      </c>
      <c r="H30" s="729"/>
      <c r="I30" s="729">
        <f>-Inputs!$C$18</f>
        <v>-3.0284021924274875</v>
      </c>
      <c r="J30" s="730">
        <f>-Inputs!$C$18</f>
        <v>-3.0284021924274875</v>
      </c>
      <c r="K30" s="729">
        <f>-Inputs!$C$18</f>
        <v>-3.0284021924274875</v>
      </c>
      <c r="L30" s="729"/>
      <c r="M30" s="731">
        <f>-Inputs!$C$18</f>
        <v>-3.0284021924274875</v>
      </c>
    </row>
    <row r="31" spans="1:13">
      <c r="A31" s="40" t="s">
        <v>451</v>
      </c>
      <c r="B31" s="142">
        <f>B29+B30</f>
        <v>166.14776156627553</v>
      </c>
      <c r="C31" s="34">
        <f>C29+C30</f>
        <v>166.14776156627553</v>
      </c>
      <c r="D31" s="34"/>
      <c r="E31" s="44">
        <f>E29+E30</f>
        <v>166.14776156627553</v>
      </c>
      <c r="F31" s="34">
        <f>F29+F30</f>
        <v>41.240084886081497</v>
      </c>
      <c r="G31" s="34">
        <f>G29+G30</f>
        <v>41.240084886081497</v>
      </c>
      <c r="H31" s="34"/>
      <c r="I31" s="34">
        <f>I29+I30</f>
        <v>41.240084886081497</v>
      </c>
      <c r="J31" s="142">
        <f>J29+J30</f>
        <v>163.65956083559442</v>
      </c>
      <c r="K31" s="34">
        <f>K29+K30</f>
        <v>163.65956083559442</v>
      </c>
      <c r="L31" s="34"/>
      <c r="M31" s="44">
        <f>M29+M30</f>
        <v>163.65956083559442</v>
      </c>
    </row>
    <row r="32" spans="1:13">
      <c r="A32" s="11"/>
      <c r="B32" s="142"/>
      <c r="C32" s="34"/>
      <c r="D32" s="34"/>
      <c r="E32" s="44"/>
      <c r="F32" s="34"/>
      <c r="G32" s="34"/>
      <c r="H32" s="34"/>
      <c r="I32" s="34"/>
      <c r="J32" s="142"/>
      <c r="K32" s="34"/>
      <c r="L32" s="34"/>
      <c r="M32" s="44"/>
    </row>
    <row r="33" spans="1:13">
      <c r="A33" s="40" t="s">
        <v>61</v>
      </c>
      <c r="B33" s="142">
        <f>'Sch DG-R TSM Summary'!B31*Inputs!$C$14</f>
        <v>481.55031066335573</v>
      </c>
      <c r="C33" s="34">
        <f>'Sch DG-R TSM Summary'!C31*Inputs!$C$14</f>
        <v>481.55031066335573</v>
      </c>
      <c r="D33" s="34"/>
      <c r="E33" s="44">
        <f>'Sch DG-R TSM Summary'!E31*Inputs!$C$14</f>
        <v>481.55031066335573</v>
      </c>
      <c r="F33" s="34">
        <f>'Sch DG-R TSM Summary'!F31*Inputs!$C$14</f>
        <v>481.55031066335573</v>
      </c>
      <c r="G33" s="34">
        <f>'Sch DG-R TSM Summary'!G31*Inputs!$C$14</f>
        <v>481.55031066335573</v>
      </c>
      <c r="H33" s="34"/>
      <c r="I33" s="34">
        <f>'Sch DG-R TSM Summary'!I31*Inputs!$C$14</f>
        <v>481.55031066335573</v>
      </c>
      <c r="J33" s="142">
        <f>'Sch DG-R TSM Summary'!J31*Inputs!$C$14</f>
        <v>481.55031066335573</v>
      </c>
      <c r="K33" s="34">
        <f>'Sch DG-R TSM Summary'!K31*Inputs!$C$14</f>
        <v>481.55031066335573</v>
      </c>
      <c r="L33" s="34"/>
      <c r="M33" s="44">
        <f>'Sch DG-R TSM Summary'!M31*Inputs!$C$14</f>
        <v>481.55031066335573</v>
      </c>
    </row>
    <row r="34" spans="1:13" ht="13.5" thickBot="1">
      <c r="A34" s="15"/>
      <c r="B34" s="144"/>
      <c r="C34" s="115"/>
      <c r="D34" s="115"/>
      <c r="E34" s="116"/>
      <c r="F34" s="115"/>
      <c r="G34" s="115"/>
      <c r="H34" s="115"/>
      <c r="I34" s="115"/>
      <c r="J34" s="144"/>
      <c r="K34" s="115"/>
      <c r="L34" s="115"/>
      <c r="M34" s="116"/>
    </row>
    <row r="35" spans="1:13" ht="13.5" thickBot="1">
      <c r="A35" s="370" t="s">
        <v>165</v>
      </c>
      <c r="B35" s="371">
        <f t="shared" ref="B35:M35" si="4">B27+B31+B33</f>
        <v>1986.6745754749302</v>
      </c>
      <c r="C35" s="372">
        <f t="shared" si="4"/>
        <v>4263.0525415800257</v>
      </c>
      <c r="D35" s="372"/>
      <c r="E35" s="383">
        <f t="shared" si="4"/>
        <v>2069.9566961860924</v>
      </c>
      <c r="F35" s="372">
        <f t="shared" si="4"/>
        <v>891.61229854204817</v>
      </c>
      <c r="G35" s="372">
        <f t="shared" si="4"/>
        <v>891.61229854204817</v>
      </c>
      <c r="H35" s="372"/>
      <c r="I35" s="372">
        <f t="shared" si="4"/>
        <v>891.61229854204817</v>
      </c>
      <c r="J35" s="371">
        <f t="shared" si="4"/>
        <v>1976.0679262065701</v>
      </c>
      <c r="K35" s="372">
        <f t="shared" si="4"/>
        <v>3448.9311992598987</v>
      </c>
      <c r="L35" s="372"/>
      <c r="M35" s="383">
        <f t="shared" si="4"/>
        <v>2046.4837002170877</v>
      </c>
    </row>
    <row r="36" spans="1:13">
      <c r="B36" s="13"/>
      <c r="C36" s="13"/>
      <c r="D36" s="13"/>
      <c r="E36" s="13"/>
      <c r="F36" s="13"/>
      <c r="G36" s="13"/>
      <c r="H36" s="13"/>
      <c r="I36" s="13"/>
    </row>
    <row r="38" spans="1:13">
      <c r="A38" t="s">
        <v>3</v>
      </c>
    </row>
    <row r="46" spans="1:13">
      <c r="A46" s="19"/>
    </row>
    <row r="58" spans="1:1">
      <c r="A58" s="19"/>
    </row>
  </sheetData>
  <mergeCells count="4">
    <mergeCell ref="A1:M1"/>
    <mergeCell ref="B2:E2"/>
    <mergeCell ref="F2:I2"/>
    <mergeCell ref="J2:M2"/>
  </mergeCells>
  <printOptions horizontalCentered="1"/>
  <pageMargins left="0.75" right="0.75" top="1" bottom="1" header="0.5" footer="0.5"/>
  <pageSetup scale="45" orientation="portrait" r:id="rId1"/>
  <headerFooter alignWithMargins="0">
    <oddFooter>&amp;L&amp;F
&amp;A&amp;R&amp;P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rgb="FFC00000"/>
  </sheetPr>
  <dimension ref="A1:CC538"/>
  <sheetViews>
    <sheetView zoomScaleNormal="100" workbookViewId="0">
      <pane xSplit="1" topLeftCell="B1" activePane="topRight" state="frozen"/>
      <selection pane="topRight" activeCell="K44" sqref="K44"/>
    </sheetView>
  </sheetViews>
  <sheetFormatPr defaultRowHeight="12.75"/>
  <cols>
    <col min="1" max="1" width="25" bestFit="1" customWidth="1"/>
    <col min="2" max="2" width="12.7109375" bestFit="1" customWidth="1"/>
    <col min="3" max="4" width="10.28515625" customWidth="1"/>
    <col min="5" max="5" width="10.140625" customWidth="1"/>
    <col min="6" max="6" width="12.7109375" bestFit="1" customWidth="1"/>
    <col min="7" max="8" width="10.140625" customWidth="1"/>
    <col min="9" max="9" width="9.140625" bestFit="1" customWidth="1"/>
    <col min="10" max="12" width="8.7109375" customWidth="1"/>
    <col min="13" max="13" width="9.85546875" bestFit="1" customWidth="1"/>
    <col min="14" max="15" width="8.7109375" customWidth="1"/>
    <col min="16" max="16" width="8.5703125" bestFit="1" customWidth="1"/>
    <col min="17" max="19" width="7.7109375" customWidth="1"/>
    <col min="20" max="20" width="9.85546875" bestFit="1" customWidth="1"/>
    <col min="21" max="22" width="7.7109375" customWidth="1"/>
    <col min="23" max="23" width="7.85546875" bestFit="1" customWidth="1"/>
    <col min="24" max="26" width="7.7109375" customWidth="1"/>
    <col min="27" max="27" width="9.85546875" bestFit="1" customWidth="1"/>
    <col min="28" max="33" width="7.7109375" customWidth="1"/>
    <col min="34" max="34" width="9.85546875" bestFit="1" customWidth="1"/>
    <col min="35" max="35" width="7.7109375" customWidth="1"/>
    <col min="36" max="36" width="8.85546875" bestFit="1" customWidth="1"/>
    <col min="37" max="40" width="8.7109375" customWidth="1"/>
    <col min="41" max="41" width="9.85546875" bestFit="1" customWidth="1"/>
    <col min="42" max="54" width="8.7109375" customWidth="1"/>
    <col min="55" max="55" width="9.85546875" bestFit="1" customWidth="1"/>
    <col min="56" max="57" width="8.7109375" customWidth="1"/>
    <col min="58" max="58" width="8.85546875" bestFit="1" customWidth="1"/>
    <col min="59" max="61" width="8.85546875" customWidth="1"/>
    <col min="62" max="62" width="9.85546875" bestFit="1" customWidth="1"/>
    <col min="63" max="64" width="8.85546875" customWidth="1"/>
    <col min="65" max="65" width="9.5703125" bestFit="1" customWidth="1"/>
    <col min="66" max="68" width="9.42578125" customWidth="1"/>
    <col min="69" max="69" width="9.85546875" bestFit="1" customWidth="1"/>
    <col min="70" max="71" width="9.42578125" customWidth="1"/>
    <col min="72" max="72" width="12.7109375" bestFit="1" customWidth="1"/>
    <col min="73" max="75" width="9.42578125" customWidth="1"/>
    <col min="76" max="76" width="12.7109375" bestFit="1" customWidth="1"/>
    <col min="77" max="77" width="11.28515625" bestFit="1" customWidth="1"/>
    <col min="78" max="78" width="12.7109375" bestFit="1" customWidth="1"/>
    <col min="80" max="80" width="10.140625" bestFit="1" customWidth="1"/>
  </cols>
  <sheetData>
    <row r="1" spans="1:78" ht="18.75" thickBot="1">
      <c r="A1" s="826" t="s">
        <v>272</v>
      </c>
      <c r="B1" s="826"/>
      <c r="C1" s="826"/>
      <c r="D1" s="826"/>
      <c r="E1" s="826"/>
      <c r="F1" s="826"/>
      <c r="G1" s="826"/>
      <c r="H1" s="826"/>
      <c r="I1" s="826"/>
      <c r="J1" s="826"/>
      <c r="K1" s="826"/>
      <c r="L1" s="826"/>
      <c r="M1" s="826"/>
      <c r="N1" s="826"/>
      <c r="O1" s="826"/>
      <c r="P1" s="826"/>
      <c r="Q1" s="826"/>
      <c r="R1" s="826"/>
      <c r="S1" s="826"/>
      <c r="T1" s="826"/>
      <c r="U1" s="826"/>
      <c r="V1" s="826"/>
      <c r="W1" s="826"/>
      <c r="X1" s="826"/>
      <c r="Y1" s="826"/>
      <c r="Z1" s="826"/>
      <c r="AA1" s="826"/>
      <c r="AB1" s="826"/>
      <c r="AC1" s="826"/>
      <c r="AD1" s="826"/>
      <c r="AE1" s="826"/>
      <c r="AF1" s="826"/>
      <c r="AG1" s="826"/>
      <c r="AH1" s="826"/>
      <c r="AI1" s="826"/>
      <c r="AJ1" s="826"/>
      <c r="AK1" s="826"/>
      <c r="AL1" s="826"/>
      <c r="AM1" s="826"/>
      <c r="AN1" s="826"/>
      <c r="AO1" s="826"/>
      <c r="AP1" s="826"/>
      <c r="AQ1" s="826"/>
      <c r="AR1" s="826"/>
      <c r="AS1" s="826"/>
      <c r="AT1" s="826"/>
      <c r="AU1" s="826"/>
      <c r="AV1" s="826"/>
      <c r="AW1" s="826"/>
      <c r="AX1" s="826"/>
      <c r="AY1" s="826"/>
      <c r="AZ1" s="826"/>
      <c r="BA1" s="826"/>
      <c r="BB1" s="826"/>
      <c r="BC1" s="826"/>
      <c r="BD1" s="826"/>
      <c r="BE1" s="826"/>
      <c r="BF1" s="826"/>
      <c r="BG1" s="826"/>
      <c r="BH1" s="826"/>
      <c r="BI1" s="826"/>
      <c r="BJ1" s="826"/>
      <c r="BK1" s="826"/>
      <c r="BL1" s="826"/>
      <c r="BM1" s="826"/>
      <c r="BN1" s="826"/>
      <c r="BO1" s="826"/>
      <c r="BP1" s="826"/>
      <c r="BQ1" s="826"/>
      <c r="BR1" s="826"/>
      <c r="BS1" s="826"/>
      <c r="BT1" s="826"/>
      <c r="BU1" s="826"/>
      <c r="BV1" s="826"/>
      <c r="BW1" s="826"/>
      <c r="BX1" s="826"/>
      <c r="BY1" s="826"/>
      <c r="BZ1" s="826"/>
    </row>
    <row r="2" spans="1:78" ht="13.5" thickBot="1">
      <c r="A2" s="131"/>
      <c r="B2" s="827" t="s">
        <v>28</v>
      </c>
      <c r="C2" s="828"/>
      <c r="D2" s="828"/>
      <c r="E2" s="828"/>
      <c r="F2" s="828"/>
      <c r="G2" s="830"/>
      <c r="H2" s="831"/>
      <c r="I2" s="827" t="s">
        <v>29</v>
      </c>
      <c r="J2" s="828"/>
      <c r="K2" s="828"/>
      <c r="L2" s="828"/>
      <c r="M2" s="828"/>
      <c r="N2" s="828"/>
      <c r="O2" s="829"/>
      <c r="P2" s="827" t="s">
        <v>30</v>
      </c>
      <c r="Q2" s="828"/>
      <c r="R2" s="828"/>
      <c r="S2" s="828"/>
      <c r="T2" s="828"/>
      <c r="U2" s="828"/>
      <c r="V2" s="829"/>
      <c r="W2" s="827" t="s">
        <v>31</v>
      </c>
      <c r="X2" s="828"/>
      <c r="Y2" s="828"/>
      <c r="Z2" s="828"/>
      <c r="AA2" s="828"/>
      <c r="AB2" s="828"/>
      <c r="AC2" s="829"/>
      <c r="AD2" s="827" t="s">
        <v>75</v>
      </c>
      <c r="AE2" s="828"/>
      <c r="AF2" s="828"/>
      <c r="AG2" s="828"/>
      <c r="AH2" s="828"/>
      <c r="AI2" s="828"/>
      <c r="AJ2" s="829"/>
      <c r="AK2" s="827" t="s">
        <v>73</v>
      </c>
      <c r="AL2" s="828"/>
      <c r="AM2" s="828"/>
      <c r="AN2" s="828"/>
      <c r="AO2" s="828"/>
      <c r="AP2" s="828"/>
      <c r="AQ2" s="829"/>
      <c r="AR2" s="827" t="s">
        <v>392</v>
      </c>
      <c r="AS2" s="828"/>
      <c r="AT2" s="828"/>
      <c r="AU2" s="828"/>
      <c r="AV2" s="828"/>
      <c r="AW2" s="828"/>
      <c r="AX2" s="829"/>
      <c r="AY2" s="827" t="s">
        <v>74</v>
      </c>
      <c r="AZ2" s="828"/>
      <c r="BA2" s="828"/>
      <c r="BB2" s="828"/>
      <c r="BC2" s="828"/>
      <c r="BD2" s="828"/>
      <c r="BE2" s="829"/>
      <c r="BF2" s="827" t="s">
        <v>105</v>
      </c>
      <c r="BG2" s="828"/>
      <c r="BH2" s="828"/>
      <c r="BI2" s="828"/>
      <c r="BJ2" s="828"/>
      <c r="BK2" s="828"/>
      <c r="BL2" s="829"/>
      <c r="BM2" s="827" t="s">
        <v>104</v>
      </c>
      <c r="BN2" s="828"/>
      <c r="BO2" s="828"/>
      <c r="BP2" s="828"/>
      <c r="BQ2" s="828"/>
      <c r="BR2" s="828"/>
      <c r="BS2" s="829"/>
      <c r="BT2" s="827" t="s">
        <v>117</v>
      </c>
      <c r="BU2" s="828"/>
      <c r="BV2" s="828"/>
      <c r="BW2" s="828"/>
      <c r="BX2" s="828"/>
      <c r="BY2" s="828"/>
      <c r="BZ2" s="829"/>
    </row>
    <row r="3" spans="1:78" ht="13.5" thickBot="1">
      <c r="A3" s="196"/>
      <c r="B3" s="827" t="s">
        <v>0</v>
      </c>
      <c r="C3" s="828"/>
      <c r="D3" s="828"/>
      <c r="E3" s="828"/>
      <c r="F3" s="828"/>
      <c r="G3" s="131"/>
      <c r="H3" s="131"/>
      <c r="I3" s="827" t="s">
        <v>0</v>
      </c>
      <c r="J3" s="828"/>
      <c r="K3" s="828"/>
      <c r="L3" s="828"/>
      <c r="M3" s="828"/>
      <c r="N3" s="342"/>
      <c r="O3" s="131"/>
      <c r="P3" s="827" t="s">
        <v>0</v>
      </c>
      <c r="Q3" s="828"/>
      <c r="R3" s="828"/>
      <c r="S3" s="828"/>
      <c r="T3" s="828"/>
      <c r="U3" s="342"/>
      <c r="V3" s="131"/>
      <c r="W3" s="827" t="s">
        <v>0</v>
      </c>
      <c r="X3" s="828"/>
      <c r="Y3" s="828"/>
      <c r="Z3" s="828"/>
      <c r="AA3" s="828"/>
      <c r="AB3" s="131"/>
      <c r="AC3" s="131"/>
      <c r="AD3" s="827" t="s">
        <v>0</v>
      </c>
      <c r="AE3" s="828"/>
      <c r="AF3" s="828"/>
      <c r="AG3" s="828"/>
      <c r="AH3" s="828"/>
      <c r="AI3" s="131"/>
      <c r="AJ3" s="131"/>
      <c r="AK3" s="827" t="s">
        <v>0</v>
      </c>
      <c r="AL3" s="828"/>
      <c r="AM3" s="828"/>
      <c r="AN3" s="828"/>
      <c r="AO3" s="828"/>
      <c r="AP3" s="131"/>
      <c r="AQ3" s="344"/>
      <c r="AR3" s="827" t="s">
        <v>0</v>
      </c>
      <c r="AS3" s="828"/>
      <c r="AT3" s="828"/>
      <c r="AU3" s="828"/>
      <c r="AV3" s="828"/>
      <c r="AW3" s="131"/>
      <c r="AX3" s="647"/>
      <c r="AY3" s="827" t="s">
        <v>0</v>
      </c>
      <c r="AZ3" s="828"/>
      <c r="BA3" s="828"/>
      <c r="BB3" s="828"/>
      <c r="BC3" s="828"/>
      <c r="BD3" s="342"/>
      <c r="BE3" s="131"/>
      <c r="BF3" s="827" t="s">
        <v>0</v>
      </c>
      <c r="BG3" s="828"/>
      <c r="BH3" s="828"/>
      <c r="BI3" s="828"/>
      <c r="BJ3" s="828"/>
      <c r="BK3" s="342"/>
      <c r="BL3" s="131"/>
      <c r="BM3" s="827" t="s">
        <v>0</v>
      </c>
      <c r="BN3" s="828"/>
      <c r="BO3" s="828"/>
      <c r="BP3" s="828"/>
      <c r="BQ3" s="828"/>
      <c r="BR3" s="342"/>
      <c r="BS3" s="131"/>
      <c r="BT3" s="827" t="s">
        <v>0</v>
      </c>
      <c r="BU3" s="828"/>
      <c r="BV3" s="828"/>
      <c r="BW3" s="828"/>
      <c r="BX3" s="828"/>
      <c r="BY3" s="131"/>
      <c r="BZ3" s="131"/>
    </row>
    <row r="4" spans="1:78">
      <c r="A4" s="196"/>
      <c r="B4" s="342" t="s">
        <v>32</v>
      </c>
      <c r="C4" s="343" t="s">
        <v>32</v>
      </c>
      <c r="D4" s="343" t="s">
        <v>33</v>
      </c>
      <c r="E4" s="343" t="s">
        <v>34</v>
      </c>
      <c r="F4" s="343"/>
      <c r="G4" s="196"/>
      <c r="H4" s="196"/>
      <c r="I4" s="342" t="s">
        <v>32</v>
      </c>
      <c r="J4" s="343" t="s">
        <v>32</v>
      </c>
      <c r="K4" s="343" t="s">
        <v>33</v>
      </c>
      <c r="L4" s="343" t="s">
        <v>34</v>
      </c>
      <c r="M4" s="343"/>
      <c r="N4" s="68"/>
      <c r="O4" s="196"/>
      <c r="P4" s="342" t="s">
        <v>32</v>
      </c>
      <c r="Q4" s="343" t="s">
        <v>32</v>
      </c>
      <c r="R4" s="343" t="s">
        <v>33</v>
      </c>
      <c r="S4" s="343" t="s">
        <v>34</v>
      </c>
      <c r="T4" s="343"/>
      <c r="U4" s="68"/>
      <c r="V4" s="196"/>
      <c r="W4" s="342" t="s">
        <v>32</v>
      </c>
      <c r="X4" s="343" t="s">
        <v>32</v>
      </c>
      <c r="Y4" s="343" t="s">
        <v>33</v>
      </c>
      <c r="Z4" s="343" t="s">
        <v>34</v>
      </c>
      <c r="AA4" s="343"/>
      <c r="AB4" s="196"/>
      <c r="AC4" s="196"/>
      <c r="AD4" s="342" t="s">
        <v>32</v>
      </c>
      <c r="AE4" s="343" t="s">
        <v>32</v>
      </c>
      <c r="AF4" s="343" t="s">
        <v>33</v>
      </c>
      <c r="AG4" s="343" t="s">
        <v>34</v>
      </c>
      <c r="AH4" s="343"/>
      <c r="AI4" s="196"/>
      <c r="AJ4" s="196"/>
      <c r="AK4" s="342" t="s">
        <v>32</v>
      </c>
      <c r="AL4" s="343" t="s">
        <v>32</v>
      </c>
      <c r="AM4" s="343" t="s">
        <v>33</v>
      </c>
      <c r="AN4" s="343" t="s">
        <v>34</v>
      </c>
      <c r="AO4" s="343"/>
      <c r="AP4" s="196"/>
      <c r="AQ4" s="273"/>
      <c r="AR4" s="648" t="s">
        <v>32</v>
      </c>
      <c r="AS4" s="646" t="s">
        <v>32</v>
      </c>
      <c r="AT4" s="646" t="s">
        <v>33</v>
      </c>
      <c r="AU4" s="646" t="s">
        <v>34</v>
      </c>
      <c r="AV4" s="646"/>
      <c r="AW4" s="196"/>
      <c r="AX4" s="485"/>
      <c r="AY4" s="342" t="s">
        <v>32</v>
      </c>
      <c r="AZ4" s="343" t="s">
        <v>32</v>
      </c>
      <c r="BA4" s="343" t="s">
        <v>33</v>
      </c>
      <c r="BB4" s="343" t="s">
        <v>34</v>
      </c>
      <c r="BC4" s="343"/>
      <c r="BD4" s="68"/>
      <c r="BE4" s="196"/>
      <c r="BF4" s="342" t="s">
        <v>32</v>
      </c>
      <c r="BG4" s="343" t="s">
        <v>32</v>
      </c>
      <c r="BH4" s="343" t="s">
        <v>33</v>
      </c>
      <c r="BI4" s="343" t="s">
        <v>34</v>
      </c>
      <c r="BJ4" s="343"/>
      <c r="BK4" s="68"/>
      <c r="BL4" s="196"/>
      <c r="BM4" s="342" t="s">
        <v>32</v>
      </c>
      <c r="BN4" s="343" t="s">
        <v>32</v>
      </c>
      <c r="BO4" s="343" t="s">
        <v>33</v>
      </c>
      <c r="BP4" s="343" t="s">
        <v>34</v>
      </c>
      <c r="BQ4" s="343"/>
      <c r="BR4" s="68"/>
      <c r="BS4" s="196"/>
      <c r="BT4" s="342" t="s">
        <v>32</v>
      </c>
      <c r="BU4" s="343" t="s">
        <v>32</v>
      </c>
      <c r="BV4" s="343" t="s">
        <v>33</v>
      </c>
      <c r="BW4" s="343" t="s">
        <v>34</v>
      </c>
      <c r="BX4" s="343"/>
      <c r="BY4" s="196"/>
      <c r="BZ4" s="196"/>
    </row>
    <row r="5" spans="1:78" ht="13.5" thickBot="1">
      <c r="A5" s="102" t="s">
        <v>4</v>
      </c>
      <c r="B5" s="98" t="s">
        <v>118</v>
      </c>
      <c r="C5" s="28" t="s">
        <v>112</v>
      </c>
      <c r="D5" s="28" t="s">
        <v>112</v>
      </c>
      <c r="E5" s="28" t="s">
        <v>112</v>
      </c>
      <c r="F5" s="28" t="s">
        <v>270</v>
      </c>
      <c r="G5" s="353" t="s">
        <v>1</v>
      </c>
      <c r="H5" s="353" t="s">
        <v>2</v>
      </c>
      <c r="I5" s="98" t="s">
        <v>118</v>
      </c>
      <c r="J5" s="28" t="s">
        <v>112</v>
      </c>
      <c r="K5" s="28" t="s">
        <v>112</v>
      </c>
      <c r="L5" s="28" t="s">
        <v>112</v>
      </c>
      <c r="M5" s="28" t="s">
        <v>270</v>
      </c>
      <c r="N5" s="98" t="s">
        <v>1</v>
      </c>
      <c r="O5" s="353" t="s">
        <v>2</v>
      </c>
      <c r="P5" s="98" t="s">
        <v>118</v>
      </c>
      <c r="Q5" s="28" t="s">
        <v>112</v>
      </c>
      <c r="R5" s="28" t="s">
        <v>112</v>
      </c>
      <c r="S5" s="28" t="s">
        <v>112</v>
      </c>
      <c r="T5" s="28" t="s">
        <v>270</v>
      </c>
      <c r="U5" s="98" t="s">
        <v>1</v>
      </c>
      <c r="V5" s="353" t="s">
        <v>2</v>
      </c>
      <c r="W5" s="98" t="s">
        <v>118</v>
      </c>
      <c r="X5" s="28" t="s">
        <v>112</v>
      </c>
      <c r="Y5" s="28" t="s">
        <v>112</v>
      </c>
      <c r="Z5" s="28" t="s">
        <v>112</v>
      </c>
      <c r="AA5" s="28" t="s">
        <v>270</v>
      </c>
      <c r="AB5" s="353" t="s">
        <v>1</v>
      </c>
      <c r="AC5" s="353" t="s">
        <v>2</v>
      </c>
      <c r="AD5" s="98" t="s">
        <v>118</v>
      </c>
      <c r="AE5" s="28" t="s">
        <v>112</v>
      </c>
      <c r="AF5" s="28" t="s">
        <v>112</v>
      </c>
      <c r="AG5" s="28" t="s">
        <v>112</v>
      </c>
      <c r="AH5" s="28" t="s">
        <v>270</v>
      </c>
      <c r="AI5" s="353" t="s">
        <v>1</v>
      </c>
      <c r="AJ5" s="353" t="s">
        <v>2</v>
      </c>
      <c r="AK5" s="98" t="s">
        <v>118</v>
      </c>
      <c r="AL5" s="28" t="s">
        <v>112</v>
      </c>
      <c r="AM5" s="28" t="s">
        <v>112</v>
      </c>
      <c r="AN5" s="28" t="s">
        <v>112</v>
      </c>
      <c r="AO5" s="28" t="s">
        <v>270</v>
      </c>
      <c r="AP5" s="353" t="s">
        <v>1</v>
      </c>
      <c r="AQ5" s="136" t="s">
        <v>2</v>
      </c>
      <c r="AR5" s="98" t="s">
        <v>118</v>
      </c>
      <c r="AS5" s="28" t="s">
        <v>112</v>
      </c>
      <c r="AT5" s="28" t="s">
        <v>112</v>
      </c>
      <c r="AU5" s="28" t="s">
        <v>112</v>
      </c>
      <c r="AV5" s="28" t="s">
        <v>270</v>
      </c>
      <c r="AW5" s="353" t="s">
        <v>1</v>
      </c>
      <c r="AX5" s="136" t="s">
        <v>2</v>
      </c>
      <c r="AY5" s="98" t="s">
        <v>118</v>
      </c>
      <c r="AZ5" s="28" t="s">
        <v>112</v>
      </c>
      <c r="BA5" s="28" t="s">
        <v>112</v>
      </c>
      <c r="BB5" s="28" t="s">
        <v>112</v>
      </c>
      <c r="BC5" s="28" t="s">
        <v>270</v>
      </c>
      <c r="BD5" s="98" t="s">
        <v>1</v>
      </c>
      <c r="BE5" s="353" t="s">
        <v>2</v>
      </c>
      <c r="BF5" s="98" t="s">
        <v>118</v>
      </c>
      <c r="BG5" s="28" t="s">
        <v>112</v>
      </c>
      <c r="BH5" s="28" t="s">
        <v>112</v>
      </c>
      <c r="BI5" s="28" t="s">
        <v>112</v>
      </c>
      <c r="BJ5" s="28" t="s">
        <v>270</v>
      </c>
      <c r="BK5" s="98" t="s">
        <v>1</v>
      </c>
      <c r="BL5" s="353" t="s">
        <v>2</v>
      </c>
      <c r="BM5" s="98" t="s">
        <v>118</v>
      </c>
      <c r="BN5" s="28" t="s">
        <v>112</v>
      </c>
      <c r="BO5" s="28" t="s">
        <v>112</v>
      </c>
      <c r="BP5" s="28" t="s">
        <v>112</v>
      </c>
      <c r="BQ5" s="28" t="s">
        <v>270</v>
      </c>
      <c r="BR5" s="98" t="s">
        <v>1</v>
      </c>
      <c r="BS5" s="353" t="s">
        <v>2</v>
      </c>
      <c r="BT5" s="98" t="s">
        <v>118</v>
      </c>
      <c r="BU5" s="28" t="s">
        <v>112</v>
      </c>
      <c r="BV5" s="28" t="s">
        <v>112</v>
      </c>
      <c r="BW5" s="28" t="s">
        <v>112</v>
      </c>
      <c r="BX5" s="28" t="s">
        <v>270</v>
      </c>
      <c r="BY5" s="353" t="s">
        <v>1</v>
      </c>
      <c r="BZ5" s="353" t="s">
        <v>2</v>
      </c>
    </row>
    <row r="6" spans="1:78">
      <c r="A6" s="133"/>
      <c r="B6" s="132" t="s">
        <v>45</v>
      </c>
      <c r="C6" s="8" t="s">
        <v>45</v>
      </c>
      <c r="D6" s="8" t="s">
        <v>45</v>
      </c>
      <c r="E6" s="8" t="s">
        <v>45</v>
      </c>
      <c r="F6" s="8" t="s">
        <v>45</v>
      </c>
      <c r="G6" s="134" t="s">
        <v>45</v>
      </c>
      <c r="H6" s="134" t="s">
        <v>45</v>
      </c>
      <c r="I6" s="6" t="s">
        <v>45</v>
      </c>
      <c r="J6" s="6" t="s">
        <v>45</v>
      </c>
      <c r="K6" s="6" t="s">
        <v>45</v>
      </c>
      <c r="L6" s="6" t="s">
        <v>45</v>
      </c>
      <c r="M6" s="6"/>
      <c r="N6" s="133" t="s">
        <v>45</v>
      </c>
      <c r="O6" s="133" t="s">
        <v>45</v>
      </c>
      <c r="P6" s="5" t="s">
        <v>45</v>
      </c>
      <c r="Q6" s="6" t="s">
        <v>45</v>
      </c>
      <c r="R6" s="6" t="s">
        <v>45</v>
      </c>
      <c r="S6" s="6" t="s">
        <v>45</v>
      </c>
      <c r="T6" s="6"/>
      <c r="U6" s="5" t="s">
        <v>45</v>
      </c>
      <c r="V6" s="133" t="s">
        <v>45</v>
      </c>
      <c r="W6" s="5" t="s">
        <v>45</v>
      </c>
      <c r="X6" s="6" t="s">
        <v>45</v>
      </c>
      <c r="Y6" s="6" t="s">
        <v>45</v>
      </c>
      <c r="Z6" s="6" t="s">
        <v>45</v>
      </c>
      <c r="AA6" s="6"/>
      <c r="AB6" s="133" t="s">
        <v>45</v>
      </c>
      <c r="AC6" s="133" t="s">
        <v>45</v>
      </c>
      <c r="AD6" s="6" t="s">
        <v>45</v>
      </c>
      <c r="AE6" s="6" t="s">
        <v>45</v>
      </c>
      <c r="AF6" s="6" t="s">
        <v>45</v>
      </c>
      <c r="AG6" s="6" t="s">
        <v>45</v>
      </c>
      <c r="AH6" s="6"/>
      <c r="AI6" s="133" t="s">
        <v>45</v>
      </c>
      <c r="AJ6" s="133" t="s">
        <v>45</v>
      </c>
      <c r="AK6" s="5" t="s">
        <v>45</v>
      </c>
      <c r="AL6" s="6" t="s">
        <v>45</v>
      </c>
      <c r="AM6" s="6" t="s">
        <v>45</v>
      </c>
      <c r="AN6" s="6" t="s">
        <v>45</v>
      </c>
      <c r="AO6" s="6"/>
      <c r="AP6" s="133" t="s">
        <v>45</v>
      </c>
      <c r="AQ6" s="7" t="s">
        <v>45</v>
      </c>
      <c r="AR6" s="5" t="s">
        <v>45</v>
      </c>
      <c r="AS6" s="6" t="s">
        <v>45</v>
      </c>
      <c r="AT6" s="6" t="s">
        <v>45</v>
      </c>
      <c r="AU6" s="6" t="s">
        <v>45</v>
      </c>
      <c r="AV6" s="6"/>
      <c r="AW6" s="133" t="s">
        <v>45</v>
      </c>
      <c r="AX6" s="7" t="s">
        <v>45</v>
      </c>
      <c r="AY6" s="5" t="s">
        <v>45</v>
      </c>
      <c r="AZ6" s="6" t="s">
        <v>45</v>
      </c>
      <c r="BA6" s="6" t="s">
        <v>45</v>
      </c>
      <c r="BB6" s="6" t="s">
        <v>45</v>
      </c>
      <c r="BC6" s="6"/>
      <c r="BD6" s="5" t="s">
        <v>45</v>
      </c>
      <c r="BE6" s="133" t="s">
        <v>45</v>
      </c>
      <c r="BF6" s="5" t="s">
        <v>45</v>
      </c>
      <c r="BG6" s="6" t="s">
        <v>45</v>
      </c>
      <c r="BH6" s="6" t="s">
        <v>45</v>
      </c>
      <c r="BI6" s="6" t="s">
        <v>45</v>
      </c>
      <c r="BJ6" s="6"/>
      <c r="BK6" s="5" t="s">
        <v>45</v>
      </c>
      <c r="BL6" s="133" t="s">
        <v>45</v>
      </c>
      <c r="BM6" s="5" t="s">
        <v>45</v>
      </c>
      <c r="BN6" s="6" t="s">
        <v>45</v>
      </c>
      <c r="BO6" s="6" t="s">
        <v>45</v>
      </c>
      <c r="BP6" s="6" t="s">
        <v>45</v>
      </c>
      <c r="BQ6" s="6" t="s">
        <v>45</v>
      </c>
      <c r="BR6" s="5" t="s">
        <v>45</v>
      </c>
      <c r="BS6" s="133" t="s">
        <v>45</v>
      </c>
      <c r="BT6" s="5" t="s">
        <v>45</v>
      </c>
      <c r="BU6" s="6" t="s">
        <v>45</v>
      </c>
      <c r="BV6" s="6" t="s">
        <v>45</v>
      </c>
      <c r="BW6" s="6" t="s">
        <v>45</v>
      </c>
      <c r="BX6" s="6"/>
      <c r="BY6" s="133" t="s">
        <v>45</v>
      </c>
      <c r="BZ6" s="133" t="s">
        <v>45</v>
      </c>
    </row>
    <row r="7" spans="1:78">
      <c r="A7" s="153"/>
      <c r="B7" s="132"/>
      <c r="C7" s="8"/>
      <c r="D7" s="8"/>
      <c r="E7" s="8"/>
      <c r="F7" s="8"/>
      <c r="G7" s="134"/>
      <c r="H7" s="134"/>
      <c r="I7" s="8"/>
      <c r="J7" s="8"/>
      <c r="K7" s="8"/>
      <c r="L7" s="8"/>
      <c r="M7" s="8"/>
      <c r="N7" s="134"/>
      <c r="O7" s="134"/>
      <c r="P7" s="132"/>
      <c r="Q7" s="8"/>
      <c r="R7" s="8"/>
      <c r="S7" s="8"/>
      <c r="T7" s="8"/>
      <c r="U7" s="132"/>
      <c r="V7" s="134"/>
      <c r="W7" s="132"/>
      <c r="X7" s="8"/>
      <c r="Y7" s="8"/>
      <c r="Z7" s="8"/>
      <c r="AA7" s="8"/>
      <c r="AB7" s="134"/>
      <c r="AC7" s="134"/>
      <c r="AD7" s="8"/>
      <c r="AE7" s="8"/>
      <c r="AF7" s="8"/>
      <c r="AG7" s="8"/>
      <c r="AH7" s="8"/>
      <c r="AI7" s="134"/>
      <c r="AJ7" s="134"/>
      <c r="AK7" s="132"/>
      <c r="AL7" s="8"/>
      <c r="AM7" s="8"/>
      <c r="AN7" s="8"/>
      <c r="AO7" s="8"/>
      <c r="AP7" s="134"/>
      <c r="AQ7" s="9"/>
      <c r="AR7" s="8"/>
      <c r="AS7" s="8"/>
      <c r="AT7" s="8"/>
      <c r="AU7" s="8"/>
      <c r="AV7" s="8"/>
      <c r="AW7" s="134"/>
      <c r="AX7" s="8"/>
      <c r="AY7" s="132"/>
      <c r="AZ7" s="8"/>
      <c r="BA7" s="8"/>
      <c r="BB7" s="8"/>
      <c r="BC7" s="8"/>
      <c r="BD7" s="132"/>
      <c r="BE7" s="134"/>
      <c r="BF7" s="132"/>
      <c r="BG7" s="8"/>
      <c r="BH7" s="8"/>
      <c r="BI7" s="8"/>
      <c r="BJ7" s="8"/>
      <c r="BK7" s="132"/>
      <c r="BL7" s="134"/>
      <c r="BM7" s="132"/>
      <c r="BN7" s="8"/>
      <c r="BO7" s="8"/>
      <c r="BP7" s="8"/>
      <c r="BQ7" s="8"/>
      <c r="BR7" s="132"/>
      <c r="BS7" s="134"/>
      <c r="BT7" s="132"/>
      <c r="BU7" s="8"/>
      <c r="BV7" s="8"/>
      <c r="BW7" s="8"/>
      <c r="BX7" s="8"/>
      <c r="BY7" s="134"/>
      <c r="BZ7" s="134"/>
    </row>
    <row r="8" spans="1:78">
      <c r="A8" s="153" t="s">
        <v>5</v>
      </c>
      <c r="B8" s="602">
        <v>354923</v>
      </c>
      <c r="C8" s="603">
        <v>86</v>
      </c>
      <c r="D8" s="603">
        <v>709</v>
      </c>
      <c r="E8" s="603">
        <v>10</v>
      </c>
      <c r="F8" s="251">
        <f>SUM(B8:E8)</f>
        <v>355728</v>
      </c>
      <c r="G8" s="604"/>
      <c r="H8" s="291">
        <f>F8+G8</f>
        <v>355728</v>
      </c>
      <c r="I8" s="603">
        <v>2145</v>
      </c>
      <c r="J8" s="603">
        <v>0</v>
      </c>
      <c r="K8" s="603">
        <v>0</v>
      </c>
      <c r="L8" s="603">
        <v>0</v>
      </c>
      <c r="M8" s="251">
        <f>SUM(I8:L8)</f>
        <v>2145</v>
      </c>
      <c r="N8" s="604">
        <v>0</v>
      </c>
      <c r="O8" s="291">
        <f>M8+N8</f>
        <v>2145</v>
      </c>
      <c r="P8" s="602">
        <v>18</v>
      </c>
      <c r="Q8" s="603">
        <v>0</v>
      </c>
      <c r="R8" s="603">
        <v>0</v>
      </c>
      <c r="S8" s="603">
        <v>0</v>
      </c>
      <c r="T8" s="251">
        <f>SUM(P8:S8)</f>
        <v>18</v>
      </c>
      <c r="U8" s="602">
        <v>0</v>
      </c>
      <c r="V8" s="291">
        <f>T8+U8</f>
        <v>18</v>
      </c>
      <c r="W8" s="602">
        <v>1</v>
      </c>
      <c r="X8" s="603">
        <v>0</v>
      </c>
      <c r="Y8" s="603">
        <v>0</v>
      </c>
      <c r="Z8" s="603">
        <v>0</v>
      </c>
      <c r="AA8" s="251">
        <f>SUM(W8:Z8)</f>
        <v>1</v>
      </c>
      <c r="AB8" s="602">
        <v>0</v>
      </c>
      <c r="AC8" s="291">
        <f>AA8+AB8</f>
        <v>1</v>
      </c>
      <c r="AD8" s="603">
        <v>1</v>
      </c>
      <c r="AE8" s="603">
        <v>0</v>
      </c>
      <c r="AF8" s="603">
        <v>0</v>
      </c>
      <c r="AG8" s="603">
        <v>0</v>
      </c>
      <c r="AH8" s="251">
        <f>SUM(AD8:AG8)</f>
        <v>1</v>
      </c>
      <c r="AI8" s="291"/>
      <c r="AJ8" s="291">
        <f t="shared" ref="AJ8:AJ17" si="0">AH8+AI8</f>
        <v>1</v>
      </c>
      <c r="AK8" s="602">
        <v>151</v>
      </c>
      <c r="AL8" s="603"/>
      <c r="AM8" s="603"/>
      <c r="AN8" s="603"/>
      <c r="AO8" s="251">
        <f>SUM(AK8:AN8)</f>
        <v>151</v>
      </c>
      <c r="AP8" s="291"/>
      <c r="AQ8" s="252">
        <f>AO8+AP8</f>
        <v>151</v>
      </c>
      <c r="AR8" s="602">
        <v>703</v>
      </c>
      <c r="AS8" s="603">
        <v>0</v>
      </c>
      <c r="AT8" s="603">
        <v>4</v>
      </c>
      <c r="AU8" s="603"/>
      <c r="AV8" s="251">
        <f>SUM(AR8:AU8)</f>
        <v>707</v>
      </c>
      <c r="AW8" s="250"/>
      <c r="AX8" s="291">
        <f>AV8+AW8</f>
        <v>707</v>
      </c>
      <c r="AY8" s="602">
        <v>33</v>
      </c>
      <c r="AZ8" s="603">
        <v>0</v>
      </c>
      <c r="BA8" s="603">
        <v>0</v>
      </c>
      <c r="BB8" s="603"/>
      <c r="BC8" s="251">
        <f>SUM(AY8:BB8)</f>
        <v>33</v>
      </c>
      <c r="BD8" s="250"/>
      <c r="BE8" s="291">
        <f>BC8+BD8</f>
        <v>33</v>
      </c>
      <c r="BF8" s="602">
        <v>44</v>
      </c>
      <c r="BG8" s="603"/>
      <c r="BH8" s="603">
        <v>0</v>
      </c>
      <c r="BI8" s="603"/>
      <c r="BJ8" s="251">
        <f t="shared" ref="BJ8:BJ13" si="1">SUM(BF8:BI8)</f>
        <v>44</v>
      </c>
      <c r="BK8" s="250"/>
      <c r="BL8" s="291">
        <f t="shared" ref="BL8:BL13" si="2">BJ8+BK8</f>
        <v>44</v>
      </c>
      <c r="BM8" s="602">
        <v>176</v>
      </c>
      <c r="BN8" s="603">
        <v>0</v>
      </c>
      <c r="BO8" s="603">
        <v>0</v>
      </c>
      <c r="BP8" s="603"/>
      <c r="BQ8" s="251">
        <f>SUM(BM8:BP8)</f>
        <v>176</v>
      </c>
      <c r="BR8" s="250"/>
      <c r="BS8" s="291">
        <f>BQ8+BR8</f>
        <v>176</v>
      </c>
      <c r="BT8" s="250">
        <f>B8+I8+P8+W8+AD8+AK8+AR8+AY8+BF8+BM8</f>
        <v>358195</v>
      </c>
      <c r="BU8" s="251">
        <f>C8+J8+Q8+X8+AE8+AL8+AS8+AZ8+BG8+BN8</f>
        <v>86</v>
      </c>
      <c r="BV8" s="251">
        <f t="shared" ref="BV8:BW23" si="3">D8+K8+R8+Y8+AF8+AM8+AT8+BA8+BH8+BO8</f>
        <v>713</v>
      </c>
      <c r="BW8" s="251">
        <f t="shared" si="3"/>
        <v>10</v>
      </c>
      <c r="BX8" s="251">
        <f>SUM(BT8:BW8)</f>
        <v>359004</v>
      </c>
      <c r="BY8" s="291">
        <f>G8+N8+U8+AB8+AI8+AP8+AW8+BD8+BK8+BR8</f>
        <v>0</v>
      </c>
      <c r="BZ8" s="291">
        <f>BX8+BY8</f>
        <v>359004</v>
      </c>
    </row>
    <row r="9" spans="1:78">
      <c r="A9" s="153" t="s">
        <v>6</v>
      </c>
      <c r="B9" s="602">
        <v>629453</v>
      </c>
      <c r="C9" s="603">
        <v>142</v>
      </c>
      <c r="D9" s="603">
        <v>653</v>
      </c>
      <c r="E9" s="603">
        <v>12</v>
      </c>
      <c r="F9" s="251">
        <f t="shared" ref="F9:F15" si="4">SUM(B9:E9)</f>
        <v>630260</v>
      </c>
      <c r="G9" s="604"/>
      <c r="H9" s="291">
        <f t="shared" ref="H9:H15" si="5">F9+G9</f>
        <v>630260</v>
      </c>
      <c r="I9" s="603">
        <v>914</v>
      </c>
      <c r="J9" s="603">
        <v>1</v>
      </c>
      <c r="K9" s="603">
        <v>1</v>
      </c>
      <c r="L9" s="603">
        <v>0</v>
      </c>
      <c r="M9" s="251">
        <f t="shared" ref="M9:M17" si="6">SUM(I9:L9)</f>
        <v>916</v>
      </c>
      <c r="N9" s="604">
        <v>0</v>
      </c>
      <c r="O9" s="291">
        <f t="shared" ref="O9:O17" si="7">M9+N9</f>
        <v>916</v>
      </c>
      <c r="P9" s="602">
        <v>78</v>
      </c>
      <c r="Q9" s="603">
        <v>0</v>
      </c>
      <c r="R9" s="603">
        <v>0</v>
      </c>
      <c r="S9" s="603">
        <v>0</v>
      </c>
      <c r="T9" s="251">
        <f t="shared" ref="T9:T21" si="8">SUM(P9:S9)</f>
        <v>78</v>
      </c>
      <c r="U9" s="602">
        <v>0</v>
      </c>
      <c r="V9" s="291">
        <f t="shared" ref="V9:V21" si="9">T9+U9</f>
        <v>78</v>
      </c>
      <c r="W9" s="602">
        <v>6</v>
      </c>
      <c r="X9" s="603">
        <v>0</v>
      </c>
      <c r="Y9" s="603">
        <v>0</v>
      </c>
      <c r="Z9" s="603">
        <v>0</v>
      </c>
      <c r="AA9" s="251">
        <f t="shared" ref="AA9:AA26" si="10">SUM(W9:Z9)</f>
        <v>6</v>
      </c>
      <c r="AB9" s="602">
        <v>0</v>
      </c>
      <c r="AC9" s="291">
        <f t="shared" ref="AC9:AC27" si="11">AA9+AB9</f>
        <v>6</v>
      </c>
      <c r="AD9" s="603">
        <v>1</v>
      </c>
      <c r="AE9" s="603">
        <v>0</v>
      </c>
      <c r="AF9" s="603">
        <v>0</v>
      </c>
      <c r="AG9" s="603">
        <v>0</v>
      </c>
      <c r="AH9" s="251">
        <f>SUM(AD9:AG9)</f>
        <v>1</v>
      </c>
      <c r="AI9" s="291"/>
      <c r="AJ9" s="291">
        <f t="shared" si="0"/>
        <v>1</v>
      </c>
      <c r="AK9" s="602">
        <v>339</v>
      </c>
      <c r="AL9" s="603"/>
      <c r="AM9" s="603"/>
      <c r="AN9" s="603"/>
      <c r="AO9" s="251">
        <f t="shared" ref="AO9:AO14" si="12">SUM(AK9:AN9)</f>
        <v>339</v>
      </c>
      <c r="AP9" s="291"/>
      <c r="AQ9" s="252">
        <f t="shared" ref="AQ9:AQ14" si="13">AO9+AP9</f>
        <v>339</v>
      </c>
      <c r="AR9" s="602">
        <v>2284</v>
      </c>
      <c r="AS9" s="603">
        <v>1</v>
      </c>
      <c r="AT9" s="603">
        <v>2</v>
      </c>
      <c r="AU9" s="603"/>
      <c r="AV9" s="251">
        <f t="shared" ref="AV9:AV17" si="14">SUM(AR9:AU9)</f>
        <v>2287</v>
      </c>
      <c r="AW9" s="250"/>
      <c r="AX9" s="291">
        <f t="shared" ref="AX9:AX17" si="15">AV9+AW9</f>
        <v>2287</v>
      </c>
      <c r="AY9" s="602">
        <v>849</v>
      </c>
      <c r="AZ9" s="603">
        <v>0</v>
      </c>
      <c r="BA9" s="603">
        <v>0</v>
      </c>
      <c r="BB9" s="603"/>
      <c r="BC9" s="251">
        <f t="shared" ref="BC9:BC15" si="16">SUM(AY9:BB9)</f>
        <v>849</v>
      </c>
      <c r="BD9" s="250"/>
      <c r="BE9" s="291">
        <f t="shared" ref="BE9:BE15" si="17">BC9+BD9</f>
        <v>849</v>
      </c>
      <c r="BF9" s="602">
        <v>222</v>
      </c>
      <c r="BG9" s="603"/>
      <c r="BH9" s="603">
        <v>1</v>
      </c>
      <c r="BI9" s="603"/>
      <c r="BJ9" s="251">
        <f t="shared" si="1"/>
        <v>223</v>
      </c>
      <c r="BK9" s="250"/>
      <c r="BL9" s="291">
        <f t="shared" si="2"/>
        <v>223</v>
      </c>
      <c r="BM9" s="602">
        <v>2425</v>
      </c>
      <c r="BN9" s="603">
        <v>1</v>
      </c>
      <c r="BO9" s="603">
        <v>1</v>
      </c>
      <c r="BP9" s="603"/>
      <c r="BQ9" s="251">
        <f t="shared" ref="BQ9:BQ16" si="18">SUM(BM9:BP9)</f>
        <v>2427</v>
      </c>
      <c r="BR9" s="250"/>
      <c r="BS9" s="291">
        <f t="shared" ref="BS9:BS16" si="19">BQ9+BR9</f>
        <v>2427</v>
      </c>
      <c r="BT9" s="250">
        <f t="shared" ref="BT9:BT24" si="20">B9+I9+P9+W9+AD9+AK9+AR9+AY9+BF9+BM9</f>
        <v>636571</v>
      </c>
      <c r="BU9" s="251">
        <f t="shared" ref="BU9:BU16" si="21">C9+J9+Q9+X9+AE9+AL9+AS9+AZ9+BG9+BN9</f>
        <v>145</v>
      </c>
      <c r="BV9" s="251">
        <f t="shared" si="3"/>
        <v>658</v>
      </c>
      <c r="BW9" s="251">
        <f t="shared" si="3"/>
        <v>12</v>
      </c>
      <c r="BX9" s="251">
        <f t="shared" ref="BX9:BX24" si="22">SUM(BT9:BW9)</f>
        <v>637386</v>
      </c>
      <c r="BY9" s="291">
        <f t="shared" ref="BY9:BY27" si="23">G9+N9+U9+AB9+AI9+AP9+AW9+BD9+BK9+BR9</f>
        <v>0</v>
      </c>
      <c r="BZ9" s="291">
        <f t="shared" ref="BZ9:BZ27" si="24">BX9+BY9</f>
        <v>637386</v>
      </c>
    </row>
    <row r="10" spans="1:78">
      <c r="A10" s="153" t="s">
        <v>7</v>
      </c>
      <c r="B10" s="602">
        <v>229754</v>
      </c>
      <c r="C10" s="603">
        <v>67</v>
      </c>
      <c r="D10" s="603">
        <v>255</v>
      </c>
      <c r="E10" s="603">
        <v>8</v>
      </c>
      <c r="F10" s="251">
        <f t="shared" si="4"/>
        <v>230084</v>
      </c>
      <c r="G10" s="604"/>
      <c r="H10" s="291">
        <f t="shared" si="5"/>
        <v>230084</v>
      </c>
      <c r="I10" s="603">
        <v>323</v>
      </c>
      <c r="J10" s="603">
        <v>2</v>
      </c>
      <c r="K10" s="603">
        <v>3</v>
      </c>
      <c r="L10" s="603">
        <v>0</v>
      </c>
      <c r="M10" s="251">
        <f t="shared" si="6"/>
        <v>328</v>
      </c>
      <c r="N10" s="604">
        <v>0</v>
      </c>
      <c r="O10" s="291">
        <f t="shared" si="7"/>
        <v>328</v>
      </c>
      <c r="P10" s="602">
        <v>50</v>
      </c>
      <c r="Q10" s="603">
        <v>0</v>
      </c>
      <c r="R10" s="603">
        <v>0</v>
      </c>
      <c r="S10" s="603">
        <v>0</v>
      </c>
      <c r="T10" s="251">
        <f t="shared" si="8"/>
        <v>50</v>
      </c>
      <c r="U10" s="602">
        <v>0</v>
      </c>
      <c r="V10" s="291">
        <f t="shared" si="9"/>
        <v>50</v>
      </c>
      <c r="W10" s="602">
        <v>21</v>
      </c>
      <c r="X10" s="603">
        <v>0</v>
      </c>
      <c r="Y10" s="603">
        <v>0</v>
      </c>
      <c r="Z10" s="603">
        <v>0</v>
      </c>
      <c r="AA10" s="251">
        <f t="shared" si="10"/>
        <v>21</v>
      </c>
      <c r="AB10" s="602">
        <v>0</v>
      </c>
      <c r="AC10" s="291">
        <f t="shared" si="11"/>
        <v>21</v>
      </c>
      <c r="AD10" s="603">
        <v>0</v>
      </c>
      <c r="AE10" s="603">
        <v>0</v>
      </c>
      <c r="AF10" s="603">
        <v>0</v>
      </c>
      <c r="AG10" s="603">
        <v>0</v>
      </c>
      <c r="AH10" s="251"/>
      <c r="AI10" s="291"/>
      <c r="AJ10" s="291">
        <f t="shared" si="0"/>
        <v>0</v>
      </c>
      <c r="AK10" s="602">
        <v>452</v>
      </c>
      <c r="AL10" s="603"/>
      <c r="AM10" s="603"/>
      <c r="AN10" s="603"/>
      <c r="AO10" s="251">
        <f t="shared" si="12"/>
        <v>452</v>
      </c>
      <c r="AP10" s="291"/>
      <c r="AQ10" s="252">
        <f t="shared" si="13"/>
        <v>452</v>
      </c>
      <c r="AR10" s="602">
        <v>1208</v>
      </c>
      <c r="AS10" s="603"/>
      <c r="AT10" s="603">
        <v>1</v>
      </c>
      <c r="AU10" s="603"/>
      <c r="AV10" s="251">
        <f t="shared" si="14"/>
        <v>1209</v>
      </c>
      <c r="AW10" s="250"/>
      <c r="AX10" s="291">
        <f t="shared" si="15"/>
        <v>1209</v>
      </c>
      <c r="AY10" s="602">
        <v>1972</v>
      </c>
      <c r="AZ10" s="603">
        <v>1</v>
      </c>
      <c r="BA10" s="603">
        <v>0</v>
      </c>
      <c r="BB10" s="603"/>
      <c r="BC10" s="251">
        <f t="shared" si="16"/>
        <v>1973</v>
      </c>
      <c r="BD10" s="250"/>
      <c r="BE10" s="291">
        <f t="shared" si="17"/>
        <v>1973</v>
      </c>
      <c r="BF10" s="602">
        <v>26</v>
      </c>
      <c r="BG10" s="603"/>
      <c r="BH10" s="603">
        <v>2</v>
      </c>
      <c r="BI10" s="603"/>
      <c r="BJ10" s="251">
        <f t="shared" si="1"/>
        <v>28</v>
      </c>
      <c r="BK10" s="250"/>
      <c r="BL10" s="291">
        <f t="shared" si="2"/>
        <v>28</v>
      </c>
      <c r="BM10" s="602">
        <v>3499</v>
      </c>
      <c r="BN10" s="603">
        <v>1</v>
      </c>
      <c r="BO10" s="603">
        <v>1</v>
      </c>
      <c r="BP10" s="603"/>
      <c r="BQ10" s="251">
        <f t="shared" si="18"/>
        <v>3501</v>
      </c>
      <c r="BR10" s="250"/>
      <c r="BS10" s="291">
        <f t="shared" si="19"/>
        <v>3501</v>
      </c>
      <c r="BT10" s="250">
        <f t="shared" si="20"/>
        <v>237305</v>
      </c>
      <c r="BU10" s="251">
        <f t="shared" si="21"/>
        <v>71</v>
      </c>
      <c r="BV10" s="251">
        <f t="shared" si="3"/>
        <v>262</v>
      </c>
      <c r="BW10" s="251">
        <f t="shared" si="3"/>
        <v>8</v>
      </c>
      <c r="BX10" s="251">
        <f t="shared" si="22"/>
        <v>237646</v>
      </c>
      <c r="BY10" s="291">
        <f t="shared" si="23"/>
        <v>0</v>
      </c>
      <c r="BZ10" s="291">
        <f t="shared" si="24"/>
        <v>237646</v>
      </c>
    </row>
    <row r="11" spans="1:78">
      <c r="A11" s="153" t="s">
        <v>124</v>
      </c>
      <c r="B11" s="602">
        <v>34709</v>
      </c>
      <c r="C11" s="603">
        <v>17</v>
      </c>
      <c r="D11" s="603">
        <v>42</v>
      </c>
      <c r="E11" s="603">
        <v>2</v>
      </c>
      <c r="F11" s="251">
        <f t="shared" si="4"/>
        <v>34770</v>
      </c>
      <c r="G11" s="604"/>
      <c r="H11" s="291">
        <f t="shared" si="5"/>
        <v>34770</v>
      </c>
      <c r="I11" s="603">
        <v>138</v>
      </c>
      <c r="J11" s="603">
        <v>4</v>
      </c>
      <c r="K11" s="603">
        <v>3</v>
      </c>
      <c r="L11" s="603">
        <v>0</v>
      </c>
      <c r="M11" s="251">
        <f t="shared" si="6"/>
        <v>145</v>
      </c>
      <c r="N11" s="604">
        <v>0</v>
      </c>
      <c r="O11" s="291">
        <f t="shared" si="7"/>
        <v>145</v>
      </c>
      <c r="P11" s="602">
        <v>29</v>
      </c>
      <c r="Q11" s="603">
        <v>0</v>
      </c>
      <c r="R11" s="603">
        <v>3</v>
      </c>
      <c r="S11" s="603">
        <v>0</v>
      </c>
      <c r="T11" s="251">
        <f t="shared" si="8"/>
        <v>32</v>
      </c>
      <c r="U11" s="602">
        <v>0</v>
      </c>
      <c r="V11" s="291">
        <f t="shared" si="9"/>
        <v>32</v>
      </c>
      <c r="W11" s="602">
        <v>16</v>
      </c>
      <c r="X11" s="603">
        <v>1</v>
      </c>
      <c r="Y11" s="603">
        <v>0</v>
      </c>
      <c r="Z11" s="603">
        <v>0</v>
      </c>
      <c r="AA11" s="251">
        <f t="shared" si="10"/>
        <v>17</v>
      </c>
      <c r="AB11" s="602">
        <v>0</v>
      </c>
      <c r="AC11" s="291">
        <f t="shared" si="11"/>
        <v>17</v>
      </c>
      <c r="AD11" s="603">
        <v>2</v>
      </c>
      <c r="AE11" s="603">
        <v>2</v>
      </c>
      <c r="AF11" s="603">
        <v>0</v>
      </c>
      <c r="AG11" s="603">
        <v>0</v>
      </c>
      <c r="AH11" s="251">
        <f>SUM(AD11:AG11)</f>
        <v>4</v>
      </c>
      <c r="AI11" s="291"/>
      <c r="AJ11" s="291">
        <f t="shared" si="0"/>
        <v>4</v>
      </c>
      <c r="AK11" s="602">
        <v>114</v>
      </c>
      <c r="AL11" s="603"/>
      <c r="AM11" s="603"/>
      <c r="AN11" s="603"/>
      <c r="AO11" s="251">
        <f t="shared" si="12"/>
        <v>114</v>
      </c>
      <c r="AP11" s="291"/>
      <c r="AQ11" s="252">
        <f t="shared" si="13"/>
        <v>114</v>
      </c>
      <c r="AR11" s="602">
        <v>245</v>
      </c>
      <c r="AS11" s="603"/>
      <c r="AT11" s="603">
        <v>1</v>
      </c>
      <c r="AU11" s="603"/>
      <c r="AV11" s="251">
        <f t="shared" si="14"/>
        <v>246</v>
      </c>
      <c r="AW11" s="250"/>
      <c r="AX11" s="291">
        <f t="shared" si="15"/>
        <v>246</v>
      </c>
      <c r="AY11" s="602">
        <v>601</v>
      </c>
      <c r="AZ11" s="603">
        <v>1</v>
      </c>
      <c r="BA11" s="603">
        <v>0</v>
      </c>
      <c r="BB11" s="603"/>
      <c r="BC11" s="251">
        <f t="shared" si="16"/>
        <v>602</v>
      </c>
      <c r="BD11" s="250"/>
      <c r="BE11" s="291">
        <f t="shared" si="17"/>
        <v>602</v>
      </c>
      <c r="BF11" s="602">
        <v>7</v>
      </c>
      <c r="BG11" s="603"/>
      <c r="BH11" s="603">
        <v>2</v>
      </c>
      <c r="BI11" s="603"/>
      <c r="BJ11" s="251">
        <f t="shared" si="1"/>
        <v>9</v>
      </c>
      <c r="BK11" s="250"/>
      <c r="BL11" s="291">
        <f t="shared" si="2"/>
        <v>9</v>
      </c>
      <c r="BM11" s="602">
        <v>1560</v>
      </c>
      <c r="BN11" s="603">
        <v>1</v>
      </c>
      <c r="BO11" s="603">
        <v>1</v>
      </c>
      <c r="BP11" s="603"/>
      <c r="BQ11" s="251">
        <f t="shared" si="18"/>
        <v>1562</v>
      </c>
      <c r="BR11" s="250"/>
      <c r="BS11" s="291">
        <f t="shared" si="19"/>
        <v>1562</v>
      </c>
      <c r="BT11" s="250">
        <f t="shared" si="20"/>
        <v>37421</v>
      </c>
      <c r="BU11" s="251">
        <f t="shared" si="21"/>
        <v>26</v>
      </c>
      <c r="BV11" s="251">
        <f t="shared" si="3"/>
        <v>52</v>
      </c>
      <c r="BW11" s="251">
        <f t="shared" si="3"/>
        <v>2</v>
      </c>
      <c r="BX11" s="251">
        <f t="shared" si="22"/>
        <v>37501</v>
      </c>
      <c r="BY11" s="291">
        <f t="shared" si="23"/>
        <v>0</v>
      </c>
      <c r="BZ11" s="291">
        <f t="shared" si="24"/>
        <v>37501</v>
      </c>
    </row>
    <row r="12" spans="1:78">
      <c r="A12" s="153" t="s">
        <v>116</v>
      </c>
      <c r="B12" s="602">
        <v>3792</v>
      </c>
      <c r="C12" s="603">
        <v>2</v>
      </c>
      <c r="D12" s="603">
        <v>9</v>
      </c>
      <c r="E12" s="603">
        <v>0</v>
      </c>
      <c r="F12" s="251">
        <f t="shared" si="4"/>
        <v>3803</v>
      </c>
      <c r="G12" s="604"/>
      <c r="H12" s="291">
        <f t="shared" si="5"/>
        <v>3803</v>
      </c>
      <c r="I12" s="603">
        <v>31</v>
      </c>
      <c r="J12" s="603">
        <v>0</v>
      </c>
      <c r="K12" s="603">
        <v>2</v>
      </c>
      <c r="L12" s="603">
        <v>0</v>
      </c>
      <c r="M12" s="251">
        <f t="shared" si="6"/>
        <v>33</v>
      </c>
      <c r="N12" s="604">
        <v>0</v>
      </c>
      <c r="O12" s="291">
        <f t="shared" si="7"/>
        <v>33</v>
      </c>
      <c r="P12" s="602">
        <v>9</v>
      </c>
      <c r="Q12" s="603">
        <v>0</v>
      </c>
      <c r="R12" s="603">
        <v>2</v>
      </c>
      <c r="S12" s="603">
        <v>0</v>
      </c>
      <c r="T12" s="251">
        <f t="shared" si="8"/>
        <v>11</v>
      </c>
      <c r="U12" s="602">
        <v>0</v>
      </c>
      <c r="V12" s="291">
        <f t="shared" si="9"/>
        <v>11</v>
      </c>
      <c r="W12" s="602">
        <v>15</v>
      </c>
      <c r="X12" s="603">
        <v>0</v>
      </c>
      <c r="Y12" s="603">
        <v>0</v>
      </c>
      <c r="Z12" s="603">
        <v>0</v>
      </c>
      <c r="AA12" s="251">
        <f t="shared" si="10"/>
        <v>15</v>
      </c>
      <c r="AB12" s="602">
        <v>0</v>
      </c>
      <c r="AC12" s="291">
        <f t="shared" si="11"/>
        <v>15</v>
      </c>
      <c r="AD12" s="603">
        <v>5</v>
      </c>
      <c r="AE12" s="603"/>
      <c r="AF12" s="603">
        <v>0</v>
      </c>
      <c r="AG12" s="603">
        <v>0</v>
      </c>
      <c r="AH12" s="251">
        <f t="shared" ref="AH12:AH17" si="25">SUM(AD12:AG12)</f>
        <v>5</v>
      </c>
      <c r="AI12" s="291"/>
      <c r="AJ12" s="291">
        <f t="shared" si="0"/>
        <v>5</v>
      </c>
      <c r="AK12" s="602">
        <v>19</v>
      </c>
      <c r="AL12" s="603"/>
      <c r="AM12" s="603"/>
      <c r="AN12" s="603"/>
      <c r="AO12" s="251">
        <f t="shared" si="12"/>
        <v>19</v>
      </c>
      <c r="AP12" s="291"/>
      <c r="AQ12" s="252">
        <f t="shared" si="13"/>
        <v>19</v>
      </c>
      <c r="AR12" s="602">
        <v>37</v>
      </c>
      <c r="AS12" s="603"/>
      <c r="AT12" s="603"/>
      <c r="AU12" s="603"/>
      <c r="AV12" s="251">
        <f t="shared" si="14"/>
        <v>37</v>
      </c>
      <c r="AW12" s="250"/>
      <c r="AX12" s="291">
        <f t="shared" si="15"/>
        <v>37</v>
      </c>
      <c r="AY12" s="602">
        <v>51</v>
      </c>
      <c r="AZ12" s="603">
        <v>1</v>
      </c>
      <c r="BA12" s="603">
        <v>0</v>
      </c>
      <c r="BB12" s="603"/>
      <c r="BC12" s="251">
        <f t="shared" si="16"/>
        <v>52</v>
      </c>
      <c r="BD12" s="250"/>
      <c r="BE12" s="291">
        <f t="shared" si="17"/>
        <v>52</v>
      </c>
      <c r="BF12" s="602">
        <v>1</v>
      </c>
      <c r="BG12" s="603"/>
      <c r="BH12" s="603"/>
      <c r="BI12" s="603"/>
      <c r="BJ12" s="251">
        <f t="shared" si="1"/>
        <v>1</v>
      </c>
      <c r="BK12" s="250"/>
      <c r="BL12" s="291">
        <f t="shared" si="2"/>
        <v>1</v>
      </c>
      <c r="BM12" s="602">
        <v>308</v>
      </c>
      <c r="BN12" s="603"/>
      <c r="BO12" s="603">
        <v>0</v>
      </c>
      <c r="BP12" s="603"/>
      <c r="BQ12" s="251">
        <f t="shared" si="18"/>
        <v>308</v>
      </c>
      <c r="BR12" s="250"/>
      <c r="BS12" s="291">
        <f t="shared" si="19"/>
        <v>308</v>
      </c>
      <c r="BT12" s="250">
        <f t="shared" si="20"/>
        <v>4268</v>
      </c>
      <c r="BU12" s="251">
        <f t="shared" si="21"/>
        <v>3</v>
      </c>
      <c r="BV12" s="251">
        <f t="shared" si="3"/>
        <v>13</v>
      </c>
      <c r="BW12" s="251">
        <f t="shared" si="3"/>
        <v>0</v>
      </c>
      <c r="BX12" s="251">
        <f t="shared" si="22"/>
        <v>4284</v>
      </c>
      <c r="BY12" s="291">
        <f t="shared" si="23"/>
        <v>0</v>
      </c>
      <c r="BZ12" s="291">
        <f t="shared" si="24"/>
        <v>4284</v>
      </c>
    </row>
    <row r="13" spans="1:78">
      <c r="A13" s="153" t="s">
        <v>8</v>
      </c>
      <c r="B13" s="602">
        <v>2695</v>
      </c>
      <c r="C13" s="603">
        <v>3</v>
      </c>
      <c r="D13" s="603">
        <v>20</v>
      </c>
      <c r="E13" s="603">
        <v>2</v>
      </c>
      <c r="F13" s="251">
        <f t="shared" si="4"/>
        <v>2720</v>
      </c>
      <c r="G13" s="604"/>
      <c r="H13" s="291">
        <f t="shared" si="5"/>
        <v>2720</v>
      </c>
      <c r="I13" s="603">
        <v>26</v>
      </c>
      <c r="J13" s="603">
        <v>3</v>
      </c>
      <c r="K13" s="603">
        <v>7</v>
      </c>
      <c r="L13" s="603">
        <v>0</v>
      </c>
      <c r="M13" s="251">
        <f t="shared" si="6"/>
        <v>36</v>
      </c>
      <c r="N13" s="604">
        <v>0</v>
      </c>
      <c r="O13" s="291">
        <f t="shared" si="7"/>
        <v>36</v>
      </c>
      <c r="P13" s="602">
        <v>14</v>
      </c>
      <c r="Q13" s="603">
        <v>1</v>
      </c>
      <c r="R13" s="603">
        <v>15</v>
      </c>
      <c r="S13" s="603">
        <v>0</v>
      </c>
      <c r="T13" s="251">
        <f t="shared" si="8"/>
        <v>30</v>
      </c>
      <c r="U13" s="602">
        <v>0</v>
      </c>
      <c r="V13" s="291">
        <f t="shared" si="9"/>
        <v>30</v>
      </c>
      <c r="W13" s="602">
        <v>82</v>
      </c>
      <c r="X13" s="603">
        <v>0</v>
      </c>
      <c r="Y13" s="603">
        <v>0</v>
      </c>
      <c r="Z13" s="603">
        <v>1</v>
      </c>
      <c r="AA13" s="251">
        <f t="shared" si="10"/>
        <v>83</v>
      </c>
      <c r="AB13" s="602">
        <v>2</v>
      </c>
      <c r="AC13" s="291">
        <f t="shared" si="11"/>
        <v>85</v>
      </c>
      <c r="AD13" s="603">
        <v>13</v>
      </c>
      <c r="AE13" s="603"/>
      <c r="AF13" s="603">
        <v>0</v>
      </c>
      <c r="AG13" s="603">
        <v>0</v>
      </c>
      <c r="AH13" s="251">
        <f t="shared" si="25"/>
        <v>13</v>
      </c>
      <c r="AI13" s="291"/>
      <c r="AJ13" s="291">
        <f t="shared" si="0"/>
        <v>13</v>
      </c>
      <c r="AK13" s="602">
        <v>15</v>
      </c>
      <c r="AL13" s="603"/>
      <c r="AM13" s="603"/>
      <c r="AN13" s="603"/>
      <c r="AO13" s="251">
        <f t="shared" si="12"/>
        <v>15</v>
      </c>
      <c r="AP13" s="291"/>
      <c r="AQ13" s="252">
        <f t="shared" si="13"/>
        <v>15</v>
      </c>
      <c r="AR13" s="602">
        <v>25</v>
      </c>
      <c r="AS13" s="603"/>
      <c r="AT13" s="603"/>
      <c r="AU13" s="603"/>
      <c r="AV13" s="251">
        <f t="shared" si="14"/>
        <v>25</v>
      </c>
      <c r="AW13" s="250"/>
      <c r="AX13" s="291">
        <f t="shared" si="15"/>
        <v>25</v>
      </c>
      <c r="AY13" s="602">
        <v>41</v>
      </c>
      <c r="AZ13" s="603"/>
      <c r="BA13" s="603">
        <v>2</v>
      </c>
      <c r="BB13" s="603"/>
      <c r="BC13" s="251">
        <f t="shared" si="16"/>
        <v>43</v>
      </c>
      <c r="BD13" s="250"/>
      <c r="BE13" s="291">
        <f t="shared" si="17"/>
        <v>43</v>
      </c>
      <c r="BF13" s="602">
        <v>1</v>
      </c>
      <c r="BG13" s="603"/>
      <c r="BH13" s="603"/>
      <c r="BI13" s="603"/>
      <c r="BJ13" s="251">
        <f t="shared" si="1"/>
        <v>1</v>
      </c>
      <c r="BK13" s="250"/>
      <c r="BL13" s="291">
        <f t="shared" si="2"/>
        <v>1</v>
      </c>
      <c r="BM13" s="602">
        <v>267</v>
      </c>
      <c r="BN13" s="603"/>
      <c r="BO13" s="603">
        <v>2</v>
      </c>
      <c r="BP13" s="603"/>
      <c r="BQ13" s="251">
        <f t="shared" si="18"/>
        <v>269</v>
      </c>
      <c r="BR13" s="250"/>
      <c r="BS13" s="291">
        <f t="shared" si="19"/>
        <v>269</v>
      </c>
      <c r="BT13" s="250">
        <f t="shared" si="20"/>
        <v>3179</v>
      </c>
      <c r="BU13" s="251">
        <f t="shared" si="21"/>
        <v>7</v>
      </c>
      <c r="BV13" s="251">
        <f t="shared" si="3"/>
        <v>46</v>
      </c>
      <c r="BW13" s="251">
        <f t="shared" si="3"/>
        <v>3</v>
      </c>
      <c r="BX13" s="251">
        <f t="shared" si="22"/>
        <v>3235</v>
      </c>
      <c r="BY13" s="291">
        <f t="shared" si="23"/>
        <v>2</v>
      </c>
      <c r="BZ13" s="291">
        <f t="shared" si="24"/>
        <v>3237</v>
      </c>
    </row>
    <row r="14" spans="1:78">
      <c r="A14" s="153" t="s">
        <v>9</v>
      </c>
      <c r="B14" s="602">
        <v>160</v>
      </c>
      <c r="C14" s="603"/>
      <c r="D14" s="603">
        <v>7</v>
      </c>
      <c r="E14" s="603"/>
      <c r="F14" s="251">
        <f t="shared" si="4"/>
        <v>167</v>
      </c>
      <c r="G14" s="604"/>
      <c r="H14" s="291">
        <f t="shared" si="5"/>
        <v>167</v>
      </c>
      <c r="I14" s="603">
        <v>3</v>
      </c>
      <c r="J14" s="603"/>
      <c r="K14" s="603">
        <v>9</v>
      </c>
      <c r="L14" s="603">
        <v>1</v>
      </c>
      <c r="M14" s="251">
        <f t="shared" si="6"/>
        <v>13</v>
      </c>
      <c r="N14" s="604">
        <v>0</v>
      </c>
      <c r="O14" s="291">
        <f t="shared" si="7"/>
        <v>13</v>
      </c>
      <c r="P14" s="602">
        <v>3</v>
      </c>
      <c r="Q14" s="603"/>
      <c r="R14" s="603">
        <v>2</v>
      </c>
      <c r="S14" s="603">
        <v>0</v>
      </c>
      <c r="T14" s="251">
        <f t="shared" si="8"/>
        <v>5</v>
      </c>
      <c r="U14" s="602">
        <v>0</v>
      </c>
      <c r="V14" s="291">
        <f t="shared" si="9"/>
        <v>5</v>
      </c>
      <c r="W14" s="602">
        <v>49</v>
      </c>
      <c r="X14" s="603">
        <v>1</v>
      </c>
      <c r="Y14" s="603">
        <v>3</v>
      </c>
      <c r="Z14" s="603">
        <v>6</v>
      </c>
      <c r="AA14" s="251">
        <f t="shared" si="10"/>
        <v>59</v>
      </c>
      <c r="AB14" s="602">
        <v>0</v>
      </c>
      <c r="AC14" s="291">
        <f t="shared" si="11"/>
        <v>59</v>
      </c>
      <c r="AD14" s="603">
        <v>10</v>
      </c>
      <c r="AE14" s="603"/>
      <c r="AF14" s="603">
        <v>0</v>
      </c>
      <c r="AG14" s="603">
        <v>1</v>
      </c>
      <c r="AH14" s="251">
        <f t="shared" si="25"/>
        <v>11</v>
      </c>
      <c r="AI14" s="291"/>
      <c r="AJ14" s="291">
        <f t="shared" si="0"/>
        <v>11</v>
      </c>
      <c r="AK14" s="602">
        <v>1</v>
      </c>
      <c r="AL14" s="603"/>
      <c r="AM14" s="603"/>
      <c r="AN14" s="603"/>
      <c r="AO14" s="251">
        <f t="shared" si="12"/>
        <v>1</v>
      </c>
      <c r="AP14" s="291"/>
      <c r="AQ14" s="252">
        <f t="shared" si="13"/>
        <v>1</v>
      </c>
      <c r="AR14" s="602">
        <v>5</v>
      </c>
      <c r="AS14" s="603"/>
      <c r="AT14" s="603"/>
      <c r="AU14" s="603"/>
      <c r="AV14" s="251">
        <f t="shared" si="14"/>
        <v>5</v>
      </c>
      <c r="AW14" s="250"/>
      <c r="AX14" s="291">
        <f t="shared" si="15"/>
        <v>5</v>
      </c>
      <c r="AY14" s="602">
        <v>3</v>
      </c>
      <c r="AZ14" s="603"/>
      <c r="BA14" s="603">
        <v>1</v>
      </c>
      <c r="BB14" s="603"/>
      <c r="BC14" s="251">
        <f t="shared" si="16"/>
        <v>4</v>
      </c>
      <c r="BD14" s="250"/>
      <c r="BE14" s="291">
        <f t="shared" si="17"/>
        <v>4</v>
      </c>
      <c r="BF14" s="602"/>
      <c r="BG14" s="603"/>
      <c r="BH14" s="603"/>
      <c r="BI14" s="603"/>
      <c r="BJ14" s="251"/>
      <c r="BK14" s="250"/>
      <c r="BL14" s="291"/>
      <c r="BM14" s="602">
        <v>20</v>
      </c>
      <c r="BN14" s="603"/>
      <c r="BO14" s="603">
        <v>0</v>
      </c>
      <c r="BP14" s="603"/>
      <c r="BQ14" s="251">
        <f t="shared" si="18"/>
        <v>20</v>
      </c>
      <c r="BR14" s="250"/>
      <c r="BS14" s="291">
        <f t="shared" si="19"/>
        <v>20</v>
      </c>
      <c r="BT14" s="250">
        <f t="shared" si="20"/>
        <v>254</v>
      </c>
      <c r="BU14" s="251">
        <f t="shared" si="21"/>
        <v>1</v>
      </c>
      <c r="BV14" s="251">
        <f t="shared" si="3"/>
        <v>22</v>
      </c>
      <c r="BW14" s="251">
        <f t="shared" si="3"/>
        <v>8</v>
      </c>
      <c r="BX14" s="251">
        <f t="shared" si="22"/>
        <v>285</v>
      </c>
      <c r="BY14" s="291">
        <f t="shared" si="23"/>
        <v>0</v>
      </c>
      <c r="BZ14" s="291">
        <f t="shared" si="24"/>
        <v>285</v>
      </c>
    </row>
    <row r="15" spans="1:78">
      <c r="A15" s="153" t="s">
        <v>10</v>
      </c>
      <c r="B15" s="602">
        <v>9</v>
      </c>
      <c r="C15" s="603"/>
      <c r="D15" s="603"/>
      <c r="E15" s="603"/>
      <c r="F15" s="251">
        <f t="shared" si="4"/>
        <v>9</v>
      </c>
      <c r="G15" s="604"/>
      <c r="H15" s="291">
        <f t="shared" si="5"/>
        <v>9</v>
      </c>
      <c r="I15" s="603"/>
      <c r="J15" s="603"/>
      <c r="K15" s="603">
        <v>2</v>
      </c>
      <c r="L15" s="603"/>
      <c r="M15" s="251">
        <f t="shared" si="6"/>
        <v>2</v>
      </c>
      <c r="N15" s="604">
        <v>0</v>
      </c>
      <c r="O15" s="291">
        <f t="shared" si="7"/>
        <v>2</v>
      </c>
      <c r="P15" s="602">
        <v>1</v>
      </c>
      <c r="Q15" s="603"/>
      <c r="R15" s="603">
        <v>4</v>
      </c>
      <c r="S15" s="603">
        <v>0</v>
      </c>
      <c r="T15" s="251">
        <f t="shared" si="8"/>
        <v>5</v>
      </c>
      <c r="U15" s="602">
        <v>0</v>
      </c>
      <c r="V15" s="291">
        <f t="shared" si="9"/>
        <v>5</v>
      </c>
      <c r="W15" s="602">
        <v>22</v>
      </c>
      <c r="X15" s="603">
        <v>2</v>
      </c>
      <c r="Y15" s="603">
        <v>2</v>
      </c>
      <c r="Z15" s="603">
        <v>3</v>
      </c>
      <c r="AA15" s="251">
        <f t="shared" si="10"/>
        <v>29</v>
      </c>
      <c r="AB15" s="602">
        <v>4</v>
      </c>
      <c r="AC15" s="291">
        <f t="shared" si="11"/>
        <v>33</v>
      </c>
      <c r="AD15" s="603">
        <v>5</v>
      </c>
      <c r="AE15" s="603"/>
      <c r="AF15" s="603">
        <v>0</v>
      </c>
      <c r="AG15" s="603">
        <v>0</v>
      </c>
      <c r="AH15" s="251">
        <f t="shared" si="25"/>
        <v>5</v>
      </c>
      <c r="AI15" s="291"/>
      <c r="AJ15" s="291">
        <f t="shared" si="0"/>
        <v>5</v>
      </c>
      <c r="AK15" s="602"/>
      <c r="AL15" s="603"/>
      <c r="AM15" s="603"/>
      <c r="AN15" s="603"/>
      <c r="AO15" s="251"/>
      <c r="AP15" s="291"/>
      <c r="AQ15" s="252"/>
      <c r="AR15" s="602">
        <v>0</v>
      </c>
      <c r="AS15" s="603"/>
      <c r="AT15" s="603"/>
      <c r="AU15" s="603"/>
      <c r="AV15" s="251">
        <f t="shared" si="14"/>
        <v>0</v>
      </c>
      <c r="AW15" s="250"/>
      <c r="AX15" s="291">
        <f t="shared" si="15"/>
        <v>0</v>
      </c>
      <c r="AY15" s="602"/>
      <c r="AZ15" s="603"/>
      <c r="BA15" s="603">
        <v>0</v>
      </c>
      <c r="BB15" s="603"/>
      <c r="BC15" s="251">
        <f t="shared" si="16"/>
        <v>0</v>
      </c>
      <c r="BD15" s="250"/>
      <c r="BE15" s="291">
        <f t="shared" si="17"/>
        <v>0</v>
      </c>
      <c r="BF15" s="602"/>
      <c r="BG15" s="603"/>
      <c r="BH15" s="603"/>
      <c r="BI15" s="603"/>
      <c r="BJ15" s="251"/>
      <c r="BK15" s="250"/>
      <c r="BL15" s="291"/>
      <c r="BM15" s="602">
        <v>2</v>
      </c>
      <c r="BN15" s="603"/>
      <c r="BO15" s="603">
        <v>1</v>
      </c>
      <c r="BP15" s="603"/>
      <c r="BQ15" s="251">
        <f t="shared" si="18"/>
        <v>3</v>
      </c>
      <c r="BR15" s="250"/>
      <c r="BS15" s="291">
        <f t="shared" si="19"/>
        <v>3</v>
      </c>
      <c r="BT15" s="250">
        <f t="shared" si="20"/>
        <v>39</v>
      </c>
      <c r="BU15" s="251">
        <f t="shared" si="21"/>
        <v>2</v>
      </c>
      <c r="BV15" s="251">
        <f t="shared" si="3"/>
        <v>9</v>
      </c>
      <c r="BW15" s="251">
        <f t="shared" si="3"/>
        <v>3</v>
      </c>
      <c r="BX15" s="251">
        <f t="shared" si="22"/>
        <v>53</v>
      </c>
      <c r="BY15" s="291">
        <f t="shared" si="23"/>
        <v>4</v>
      </c>
      <c r="BZ15" s="291">
        <f t="shared" si="24"/>
        <v>57</v>
      </c>
    </row>
    <row r="16" spans="1:78">
      <c r="A16" s="153" t="s">
        <v>11</v>
      </c>
      <c r="B16" s="602"/>
      <c r="C16" s="603"/>
      <c r="D16" s="603"/>
      <c r="E16" s="603"/>
      <c r="F16" s="251"/>
      <c r="G16" s="604"/>
      <c r="H16" s="291"/>
      <c r="I16" s="603"/>
      <c r="J16" s="603"/>
      <c r="K16" s="603">
        <v>2</v>
      </c>
      <c r="L16" s="603"/>
      <c r="M16" s="251">
        <f t="shared" si="6"/>
        <v>2</v>
      </c>
      <c r="N16" s="604">
        <v>0</v>
      </c>
      <c r="O16" s="291">
        <f t="shared" si="7"/>
        <v>2</v>
      </c>
      <c r="P16" s="602"/>
      <c r="Q16" s="603"/>
      <c r="R16" s="603">
        <v>2</v>
      </c>
      <c r="S16" s="603">
        <v>0</v>
      </c>
      <c r="T16" s="251">
        <f t="shared" si="8"/>
        <v>2</v>
      </c>
      <c r="U16" s="602">
        <v>0</v>
      </c>
      <c r="V16" s="291">
        <f t="shared" si="9"/>
        <v>2</v>
      </c>
      <c r="W16" s="602">
        <v>34</v>
      </c>
      <c r="X16" s="603">
        <v>1</v>
      </c>
      <c r="Y16" s="603">
        <v>1</v>
      </c>
      <c r="Z16" s="603">
        <v>7</v>
      </c>
      <c r="AA16" s="251">
        <f t="shared" si="10"/>
        <v>43</v>
      </c>
      <c r="AB16" s="602">
        <v>5</v>
      </c>
      <c r="AC16" s="291">
        <f t="shared" si="11"/>
        <v>48</v>
      </c>
      <c r="AD16" s="603">
        <v>0</v>
      </c>
      <c r="AE16" s="603"/>
      <c r="AF16" s="603">
        <v>1</v>
      </c>
      <c r="AG16" s="603">
        <v>0</v>
      </c>
      <c r="AH16" s="251">
        <f t="shared" si="25"/>
        <v>1</v>
      </c>
      <c r="AI16" s="291"/>
      <c r="AJ16" s="291">
        <f t="shared" si="0"/>
        <v>1</v>
      </c>
      <c r="AK16" s="602"/>
      <c r="AL16" s="603"/>
      <c r="AM16" s="603"/>
      <c r="AN16" s="603"/>
      <c r="AO16" s="251"/>
      <c r="AP16" s="291"/>
      <c r="AQ16" s="252"/>
      <c r="AR16" s="602">
        <v>0</v>
      </c>
      <c r="AS16" s="603"/>
      <c r="AT16" s="603"/>
      <c r="AU16" s="603"/>
      <c r="AV16" s="251">
        <f t="shared" si="14"/>
        <v>0</v>
      </c>
      <c r="AW16" s="250"/>
      <c r="AX16" s="291">
        <f t="shared" si="15"/>
        <v>0</v>
      </c>
      <c r="AY16" s="602"/>
      <c r="AZ16" s="603"/>
      <c r="BA16" s="603">
        <v>1</v>
      </c>
      <c r="BB16" s="603"/>
      <c r="BC16" s="251">
        <f>SUM(AY16:BB16)</f>
        <v>1</v>
      </c>
      <c r="BD16" s="250"/>
      <c r="BE16" s="291">
        <f>BC16+BD16</f>
        <v>1</v>
      </c>
      <c r="BF16" s="250"/>
      <c r="BG16" s="251"/>
      <c r="BH16" s="251"/>
      <c r="BI16" s="251"/>
      <c r="BJ16" s="251"/>
      <c r="BK16" s="250"/>
      <c r="BL16" s="291"/>
      <c r="BM16" s="602">
        <v>1</v>
      </c>
      <c r="BN16" s="603"/>
      <c r="BO16" s="603"/>
      <c r="BP16" s="603"/>
      <c r="BQ16" s="251">
        <f t="shared" si="18"/>
        <v>1</v>
      </c>
      <c r="BR16" s="250"/>
      <c r="BS16" s="291">
        <f t="shared" si="19"/>
        <v>1</v>
      </c>
      <c r="BT16" s="250">
        <f t="shared" si="20"/>
        <v>35</v>
      </c>
      <c r="BU16" s="251">
        <f t="shared" si="21"/>
        <v>1</v>
      </c>
      <c r="BV16" s="251">
        <f t="shared" si="3"/>
        <v>7</v>
      </c>
      <c r="BW16" s="251">
        <f t="shared" si="3"/>
        <v>7</v>
      </c>
      <c r="BX16" s="251">
        <f t="shared" si="22"/>
        <v>50</v>
      </c>
      <c r="BY16" s="291">
        <f t="shared" si="23"/>
        <v>5</v>
      </c>
      <c r="BZ16" s="291">
        <f t="shared" si="24"/>
        <v>55</v>
      </c>
    </row>
    <row r="17" spans="1:78">
      <c r="A17" s="153" t="s">
        <v>120</v>
      </c>
      <c r="B17" s="602"/>
      <c r="C17" s="603"/>
      <c r="D17" s="603"/>
      <c r="E17" s="603"/>
      <c r="F17" s="251"/>
      <c r="G17" s="604"/>
      <c r="H17" s="291"/>
      <c r="I17" s="603"/>
      <c r="J17" s="603"/>
      <c r="K17" s="603">
        <v>1</v>
      </c>
      <c r="L17" s="603"/>
      <c r="M17" s="251">
        <f t="shared" si="6"/>
        <v>1</v>
      </c>
      <c r="N17" s="604">
        <v>1</v>
      </c>
      <c r="O17" s="291">
        <f t="shared" si="7"/>
        <v>2</v>
      </c>
      <c r="P17" s="602"/>
      <c r="Q17" s="603"/>
      <c r="R17" s="603">
        <v>0</v>
      </c>
      <c r="S17" s="603">
        <v>1</v>
      </c>
      <c r="T17" s="251">
        <f t="shared" si="8"/>
        <v>1</v>
      </c>
      <c r="U17" s="602">
        <v>1</v>
      </c>
      <c r="V17" s="291">
        <f t="shared" si="9"/>
        <v>2</v>
      </c>
      <c r="W17" s="602">
        <v>15</v>
      </c>
      <c r="X17" s="603"/>
      <c r="Y17" s="603">
        <v>0</v>
      </c>
      <c r="Z17" s="603">
        <v>6</v>
      </c>
      <c r="AA17" s="251">
        <f t="shared" si="10"/>
        <v>21</v>
      </c>
      <c r="AB17" s="602">
        <v>5</v>
      </c>
      <c r="AC17" s="291">
        <f t="shared" si="11"/>
        <v>26</v>
      </c>
      <c r="AD17" s="603">
        <v>0</v>
      </c>
      <c r="AE17" s="603"/>
      <c r="AF17" s="603"/>
      <c r="AG17" s="603">
        <v>2</v>
      </c>
      <c r="AH17" s="251">
        <f t="shared" si="25"/>
        <v>2</v>
      </c>
      <c r="AI17" s="291"/>
      <c r="AJ17" s="291">
        <f t="shared" si="0"/>
        <v>2</v>
      </c>
      <c r="AK17" s="602"/>
      <c r="AL17" s="603"/>
      <c r="AM17" s="603"/>
      <c r="AN17" s="603"/>
      <c r="AO17" s="251"/>
      <c r="AP17" s="291"/>
      <c r="AQ17" s="252"/>
      <c r="AR17" s="602">
        <v>1</v>
      </c>
      <c r="AS17" s="603"/>
      <c r="AT17" s="603"/>
      <c r="AU17" s="603"/>
      <c r="AV17" s="251">
        <f t="shared" si="14"/>
        <v>1</v>
      </c>
      <c r="AW17" s="250"/>
      <c r="AX17" s="291">
        <f t="shared" si="15"/>
        <v>1</v>
      </c>
      <c r="AY17" s="602"/>
      <c r="AZ17" s="603"/>
      <c r="BA17" s="603"/>
      <c r="BB17" s="603"/>
      <c r="BC17" s="251"/>
      <c r="BD17" s="250"/>
      <c r="BE17" s="291"/>
      <c r="BF17" s="250"/>
      <c r="BG17" s="251"/>
      <c r="BH17" s="251"/>
      <c r="BI17" s="251"/>
      <c r="BJ17" s="251"/>
      <c r="BK17" s="250"/>
      <c r="BL17" s="291"/>
      <c r="BM17" s="602"/>
      <c r="BN17" s="603"/>
      <c r="BO17" s="603"/>
      <c r="BP17" s="603"/>
      <c r="BQ17" s="251"/>
      <c r="BR17" s="250"/>
      <c r="BS17" s="291"/>
      <c r="BT17" s="250">
        <f t="shared" si="20"/>
        <v>16</v>
      </c>
      <c r="BU17" s="251"/>
      <c r="BV17" s="251">
        <f t="shared" si="3"/>
        <v>1</v>
      </c>
      <c r="BW17" s="251">
        <f t="shared" si="3"/>
        <v>9</v>
      </c>
      <c r="BX17" s="251">
        <f t="shared" si="22"/>
        <v>26</v>
      </c>
      <c r="BY17" s="291">
        <f t="shared" si="23"/>
        <v>7</v>
      </c>
      <c r="BZ17" s="291">
        <f t="shared" si="24"/>
        <v>33</v>
      </c>
    </row>
    <row r="18" spans="1:78">
      <c r="A18" s="153" t="s">
        <v>121</v>
      </c>
      <c r="B18" s="602"/>
      <c r="C18" s="603"/>
      <c r="D18" s="603"/>
      <c r="E18" s="603"/>
      <c r="F18" s="251"/>
      <c r="G18" s="604"/>
      <c r="H18" s="291"/>
      <c r="I18" s="603"/>
      <c r="J18" s="603"/>
      <c r="K18" s="603"/>
      <c r="L18" s="603"/>
      <c r="M18" s="251"/>
      <c r="N18" s="291"/>
      <c r="O18" s="291"/>
      <c r="P18" s="602"/>
      <c r="Q18" s="603"/>
      <c r="R18" s="603">
        <v>1</v>
      </c>
      <c r="S18" s="603">
        <v>0</v>
      </c>
      <c r="T18" s="251">
        <f t="shared" si="8"/>
        <v>1</v>
      </c>
      <c r="U18" s="602"/>
      <c r="V18" s="291">
        <f t="shared" si="9"/>
        <v>1</v>
      </c>
      <c r="W18" s="602">
        <v>7</v>
      </c>
      <c r="X18" s="603"/>
      <c r="Y18" s="603">
        <v>1</v>
      </c>
      <c r="Z18" s="603">
        <v>3</v>
      </c>
      <c r="AA18" s="251">
        <f t="shared" si="10"/>
        <v>11</v>
      </c>
      <c r="AB18" s="602">
        <v>4</v>
      </c>
      <c r="AC18" s="291">
        <f t="shared" si="11"/>
        <v>15</v>
      </c>
      <c r="AD18" s="603">
        <v>1</v>
      </c>
      <c r="AE18" s="603"/>
      <c r="AF18" s="603"/>
      <c r="AG18" s="603"/>
      <c r="AH18" s="251">
        <f>SUM(AD18:AG18)</f>
        <v>1</v>
      </c>
      <c r="AI18" s="291"/>
      <c r="AJ18" s="291">
        <f>AH18+AI18</f>
        <v>1</v>
      </c>
      <c r="AK18" s="602"/>
      <c r="AL18" s="603"/>
      <c r="AM18" s="603"/>
      <c r="AN18" s="603"/>
      <c r="AO18" s="251"/>
      <c r="AP18" s="291"/>
      <c r="AQ18" s="252"/>
      <c r="AR18" s="602"/>
      <c r="AS18" s="603"/>
      <c r="AT18" s="603"/>
      <c r="AU18" s="603"/>
      <c r="AV18" s="251"/>
      <c r="AW18" s="250"/>
      <c r="AX18" s="291"/>
      <c r="AY18" s="602"/>
      <c r="AZ18" s="603"/>
      <c r="BA18" s="603"/>
      <c r="BB18" s="603"/>
      <c r="BC18" s="251"/>
      <c r="BD18" s="250"/>
      <c r="BE18" s="291"/>
      <c r="BF18" s="250"/>
      <c r="BG18" s="251"/>
      <c r="BH18" s="251"/>
      <c r="BI18" s="251"/>
      <c r="BJ18" s="251"/>
      <c r="BK18" s="250"/>
      <c r="BL18" s="291"/>
      <c r="BM18" s="602"/>
      <c r="BN18" s="603"/>
      <c r="BO18" s="603"/>
      <c r="BP18" s="603"/>
      <c r="BQ18" s="251"/>
      <c r="BR18" s="250"/>
      <c r="BS18" s="291"/>
      <c r="BT18" s="250">
        <f t="shared" si="20"/>
        <v>8</v>
      </c>
      <c r="BU18" s="251"/>
      <c r="BV18" s="251">
        <f t="shared" si="3"/>
        <v>2</v>
      </c>
      <c r="BW18" s="251">
        <f t="shared" si="3"/>
        <v>3</v>
      </c>
      <c r="BX18" s="251">
        <f t="shared" si="22"/>
        <v>13</v>
      </c>
      <c r="BY18" s="291">
        <f t="shared" si="23"/>
        <v>4</v>
      </c>
      <c r="BZ18" s="291">
        <f t="shared" si="24"/>
        <v>17</v>
      </c>
    </row>
    <row r="19" spans="1:78">
      <c r="A19" s="153" t="s">
        <v>12</v>
      </c>
      <c r="B19" s="602"/>
      <c r="C19" s="603"/>
      <c r="D19" s="603"/>
      <c r="E19" s="603"/>
      <c r="F19" s="251"/>
      <c r="G19" s="604"/>
      <c r="H19" s="291"/>
      <c r="I19" s="603"/>
      <c r="J19" s="603"/>
      <c r="K19" s="603"/>
      <c r="L19" s="603"/>
      <c r="M19" s="251"/>
      <c r="N19" s="604"/>
      <c r="O19" s="291"/>
      <c r="P19" s="602"/>
      <c r="Q19" s="603"/>
      <c r="R19" s="603"/>
      <c r="S19" s="603">
        <v>0</v>
      </c>
      <c r="T19" s="251">
        <f t="shared" si="8"/>
        <v>0</v>
      </c>
      <c r="U19" s="602"/>
      <c r="V19" s="291">
        <f t="shared" si="9"/>
        <v>0</v>
      </c>
      <c r="W19" s="602">
        <v>5</v>
      </c>
      <c r="X19" s="603"/>
      <c r="Y19" s="603">
        <v>1</v>
      </c>
      <c r="Z19" s="603">
        <v>14</v>
      </c>
      <c r="AA19" s="251">
        <f t="shared" si="10"/>
        <v>20</v>
      </c>
      <c r="AB19" s="602">
        <v>7</v>
      </c>
      <c r="AC19" s="291">
        <f t="shared" si="11"/>
        <v>27</v>
      </c>
      <c r="AD19" s="603"/>
      <c r="AE19" s="603"/>
      <c r="AF19" s="603"/>
      <c r="AG19" s="603"/>
      <c r="AH19" s="251"/>
      <c r="AI19" s="291"/>
      <c r="AJ19" s="291"/>
      <c r="AK19" s="250"/>
      <c r="AL19" s="251"/>
      <c r="AM19" s="251"/>
      <c r="AN19" s="251"/>
      <c r="AO19" s="251"/>
      <c r="AP19" s="291"/>
      <c r="AQ19" s="252"/>
      <c r="AR19" s="602"/>
      <c r="AS19" s="603"/>
      <c r="AT19" s="603"/>
      <c r="AU19" s="603"/>
      <c r="AV19" s="251"/>
      <c r="AW19" s="250"/>
      <c r="AX19" s="291"/>
      <c r="AY19" s="602"/>
      <c r="AZ19" s="603"/>
      <c r="BA19" s="603"/>
      <c r="BB19" s="603"/>
      <c r="BC19" s="251"/>
      <c r="BD19" s="250"/>
      <c r="BE19" s="291"/>
      <c r="BF19" s="250"/>
      <c r="BG19" s="251"/>
      <c r="BH19" s="251"/>
      <c r="BI19" s="251"/>
      <c r="BJ19" s="251"/>
      <c r="BK19" s="250"/>
      <c r="BL19" s="291"/>
      <c r="BM19" s="602"/>
      <c r="BN19" s="603"/>
      <c r="BO19" s="603"/>
      <c r="BP19" s="603"/>
      <c r="BQ19" s="251"/>
      <c r="BR19" s="250"/>
      <c r="BS19" s="291"/>
      <c r="BT19" s="250">
        <f t="shared" si="20"/>
        <v>5</v>
      </c>
      <c r="BU19" s="251"/>
      <c r="BV19" s="251">
        <f t="shared" si="3"/>
        <v>1</v>
      </c>
      <c r="BW19" s="251">
        <f t="shared" si="3"/>
        <v>14</v>
      </c>
      <c r="BX19" s="251">
        <f t="shared" si="22"/>
        <v>20</v>
      </c>
      <c r="BY19" s="291">
        <f t="shared" si="23"/>
        <v>7</v>
      </c>
      <c r="BZ19" s="291">
        <f t="shared" si="24"/>
        <v>27</v>
      </c>
    </row>
    <row r="20" spans="1:78">
      <c r="A20" s="153" t="s">
        <v>13</v>
      </c>
      <c r="B20" s="602"/>
      <c r="C20" s="603"/>
      <c r="D20" s="603"/>
      <c r="E20" s="603"/>
      <c r="F20" s="251"/>
      <c r="G20" s="604"/>
      <c r="H20" s="291"/>
      <c r="I20" s="603"/>
      <c r="J20" s="603"/>
      <c r="K20" s="603"/>
      <c r="L20" s="603"/>
      <c r="M20" s="251"/>
      <c r="N20" s="291"/>
      <c r="O20" s="291"/>
      <c r="P20" s="602"/>
      <c r="Q20" s="603"/>
      <c r="R20" s="603"/>
      <c r="S20" s="603">
        <v>0</v>
      </c>
      <c r="T20" s="251">
        <f t="shared" si="8"/>
        <v>0</v>
      </c>
      <c r="U20" s="602"/>
      <c r="V20" s="291">
        <f t="shared" si="9"/>
        <v>0</v>
      </c>
      <c r="W20" s="602">
        <v>0</v>
      </c>
      <c r="X20" s="603"/>
      <c r="Y20" s="603">
        <v>1</v>
      </c>
      <c r="Z20" s="603">
        <v>11</v>
      </c>
      <c r="AA20" s="251">
        <f t="shared" si="10"/>
        <v>12</v>
      </c>
      <c r="AB20" s="602">
        <v>8</v>
      </c>
      <c r="AC20" s="291">
        <f t="shared" si="11"/>
        <v>20</v>
      </c>
      <c r="AD20" s="603"/>
      <c r="AE20" s="603"/>
      <c r="AF20" s="603"/>
      <c r="AG20" s="603"/>
      <c r="AH20" s="251"/>
      <c r="AI20" s="291"/>
      <c r="AJ20" s="291"/>
      <c r="AK20" s="250"/>
      <c r="AL20" s="251"/>
      <c r="AM20" s="251"/>
      <c r="AN20" s="251"/>
      <c r="AO20" s="251"/>
      <c r="AP20" s="291"/>
      <c r="AQ20" s="252"/>
      <c r="AR20" s="251"/>
      <c r="AS20" s="251"/>
      <c r="AT20" s="251"/>
      <c r="AU20" s="251"/>
      <c r="AV20" s="251"/>
      <c r="AW20" s="250"/>
      <c r="AX20" s="291"/>
      <c r="AY20" s="602"/>
      <c r="AZ20" s="603"/>
      <c r="BA20" s="603"/>
      <c r="BB20" s="603"/>
      <c r="BC20" s="251"/>
      <c r="BD20" s="250"/>
      <c r="BE20" s="291"/>
      <c r="BF20" s="250"/>
      <c r="BG20" s="251"/>
      <c r="BH20" s="251"/>
      <c r="BI20" s="251"/>
      <c r="BJ20" s="251"/>
      <c r="BK20" s="250"/>
      <c r="BL20" s="291"/>
      <c r="BM20" s="602"/>
      <c r="BN20" s="603"/>
      <c r="BO20" s="603"/>
      <c r="BP20" s="603"/>
      <c r="BQ20" s="251"/>
      <c r="BR20" s="250"/>
      <c r="BS20" s="291"/>
      <c r="BT20" s="250">
        <f t="shared" si="20"/>
        <v>0</v>
      </c>
      <c r="BU20" s="251"/>
      <c r="BV20" s="251">
        <f t="shared" si="3"/>
        <v>1</v>
      </c>
      <c r="BW20" s="251">
        <f t="shared" si="3"/>
        <v>11</v>
      </c>
      <c r="BX20" s="251">
        <f t="shared" si="22"/>
        <v>12</v>
      </c>
      <c r="BY20" s="291">
        <f t="shared" si="23"/>
        <v>8</v>
      </c>
      <c r="BZ20" s="291">
        <f t="shared" si="24"/>
        <v>20</v>
      </c>
    </row>
    <row r="21" spans="1:78">
      <c r="A21" s="153" t="s">
        <v>122</v>
      </c>
      <c r="B21" s="250"/>
      <c r="C21" s="251"/>
      <c r="D21" s="251"/>
      <c r="E21" s="251"/>
      <c r="F21" s="251"/>
      <c r="G21" s="291"/>
      <c r="H21" s="291"/>
      <c r="I21" s="603"/>
      <c r="J21" s="603"/>
      <c r="K21" s="603"/>
      <c r="L21" s="603"/>
      <c r="M21" s="251"/>
      <c r="N21" s="291"/>
      <c r="O21" s="291"/>
      <c r="P21" s="602"/>
      <c r="Q21" s="603"/>
      <c r="R21" s="603"/>
      <c r="S21" s="603">
        <v>1</v>
      </c>
      <c r="T21" s="251">
        <f t="shared" si="8"/>
        <v>1</v>
      </c>
      <c r="U21" s="602"/>
      <c r="V21" s="291">
        <f t="shared" si="9"/>
        <v>1</v>
      </c>
      <c r="W21" s="602">
        <v>1</v>
      </c>
      <c r="X21" s="603"/>
      <c r="Y21" s="603"/>
      <c r="Z21" s="603">
        <v>5</v>
      </c>
      <c r="AA21" s="251">
        <f t="shared" si="10"/>
        <v>6</v>
      </c>
      <c r="AB21" s="602">
        <v>2</v>
      </c>
      <c r="AC21" s="291">
        <f t="shared" si="11"/>
        <v>8</v>
      </c>
      <c r="AD21" s="603"/>
      <c r="AE21" s="603"/>
      <c r="AF21" s="603"/>
      <c r="AG21" s="603"/>
      <c r="AH21" s="251"/>
      <c r="AI21" s="291"/>
      <c r="AJ21" s="291"/>
      <c r="AK21" s="250"/>
      <c r="AL21" s="251"/>
      <c r="AM21" s="251"/>
      <c r="AN21" s="251"/>
      <c r="AO21" s="251"/>
      <c r="AP21" s="291"/>
      <c r="AQ21" s="252"/>
      <c r="AR21" s="251"/>
      <c r="AS21" s="251"/>
      <c r="AT21" s="251"/>
      <c r="AU21" s="251"/>
      <c r="AV21" s="251"/>
      <c r="AW21" s="250"/>
      <c r="AX21" s="291"/>
      <c r="AY21" s="602"/>
      <c r="AZ21" s="603"/>
      <c r="BA21" s="603"/>
      <c r="BB21" s="603"/>
      <c r="BC21" s="251"/>
      <c r="BD21" s="250"/>
      <c r="BE21" s="291"/>
      <c r="BF21" s="250"/>
      <c r="BG21" s="251"/>
      <c r="BH21" s="251"/>
      <c r="BI21" s="251"/>
      <c r="BJ21" s="251"/>
      <c r="BK21" s="250"/>
      <c r="BL21" s="291"/>
      <c r="BM21" s="602"/>
      <c r="BN21" s="603"/>
      <c r="BO21" s="603"/>
      <c r="BP21" s="603"/>
      <c r="BQ21" s="251"/>
      <c r="BR21" s="250"/>
      <c r="BS21" s="291"/>
      <c r="BT21" s="250">
        <f t="shared" si="20"/>
        <v>1</v>
      </c>
      <c r="BU21" s="251"/>
      <c r="BV21" s="251"/>
      <c r="BW21" s="251">
        <f t="shared" si="3"/>
        <v>6</v>
      </c>
      <c r="BX21" s="251">
        <f t="shared" si="22"/>
        <v>7</v>
      </c>
      <c r="BY21" s="291">
        <f t="shared" si="23"/>
        <v>2</v>
      </c>
      <c r="BZ21" s="291">
        <f t="shared" si="24"/>
        <v>9</v>
      </c>
    </row>
    <row r="22" spans="1:78">
      <c r="A22" s="153" t="s">
        <v>123</v>
      </c>
      <c r="B22" s="250"/>
      <c r="C22" s="251"/>
      <c r="D22" s="251"/>
      <c r="E22" s="251"/>
      <c r="F22" s="251"/>
      <c r="G22" s="291"/>
      <c r="H22" s="291"/>
      <c r="I22" s="603"/>
      <c r="J22" s="603"/>
      <c r="K22" s="603"/>
      <c r="L22" s="603"/>
      <c r="M22" s="251"/>
      <c r="N22" s="291"/>
      <c r="O22" s="291"/>
      <c r="P22" s="602"/>
      <c r="Q22" s="603"/>
      <c r="R22" s="603"/>
      <c r="S22" s="603"/>
      <c r="T22" s="251"/>
      <c r="U22" s="250"/>
      <c r="V22" s="291"/>
      <c r="W22" s="602">
        <v>0</v>
      </c>
      <c r="X22" s="603"/>
      <c r="Y22" s="603"/>
      <c r="Z22" s="603">
        <v>0</v>
      </c>
      <c r="AA22" s="251">
        <f t="shared" si="10"/>
        <v>0</v>
      </c>
      <c r="AB22" s="602">
        <v>3</v>
      </c>
      <c r="AC22" s="291">
        <f t="shared" si="11"/>
        <v>3</v>
      </c>
      <c r="AD22" s="603"/>
      <c r="AE22" s="603"/>
      <c r="AF22" s="603"/>
      <c r="AG22" s="603"/>
      <c r="AH22" s="251"/>
      <c r="AI22" s="291"/>
      <c r="AJ22" s="291"/>
      <c r="AK22" s="250"/>
      <c r="AL22" s="251"/>
      <c r="AM22" s="251"/>
      <c r="AN22" s="251"/>
      <c r="AO22" s="251"/>
      <c r="AP22" s="291"/>
      <c r="AQ22" s="252"/>
      <c r="AR22" s="251"/>
      <c r="AS22" s="251"/>
      <c r="AT22" s="251"/>
      <c r="AU22" s="251"/>
      <c r="AV22" s="251"/>
      <c r="AW22" s="250"/>
      <c r="AX22" s="291"/>
      <c r="AY22" s="602"/>
      <c r="AZ22" s="603"/>
      <c r="BA22" s="603"/>
      <c r="BB22" s="603"/>
      <c r="BC22" s="251"/>
      <c r="BD22" s="250"/>
      <c r="BE22" s="291"/>
      <c r="BF22" s="250"/>
      <c r="BG22" s="251"/>
      <c r="BH22" s="251"/>
      <c r="BI22" s="251"/>
      <c r="BJ22" s="251"/>
      <c r="BK22" s="250"/>
      <c r="BL22" s="291"/>
      <c r="BM22" s="602"/>
      <c r="BN22" s="603"/>
      <c r="BO22" s="603"/>
      <c r="BP22" s="603"/>
      <c r="BQ22" s="251"/>
      <c r="BR22" s="250"/>
      <c r="BS22" s="291"/>
      <c r="BT22" s="250">
        <f t="shared" si="20"/>
        <v>0</v>
      </c>
      <c r="BU22" s="251"/>
      <c r="BV22" s="251"/>
      <c r="BW22" s="251">
        <f t="shared" si="3"/>
        <v>0</v>
      </c>
      <c r="BX22" s="251">
        <f t="shared" si="22"/>
        <v>0</v>
      </c>
      <c r="BY22" s="291">
        <f t="shared" si="23"/>
        <v>3</v>
      </c>
      <c r="BZ22" s="291">
        <f t="shared" si="24"/>
        <v>3</v>
      </c>
    </row>
    <row r="23" spans="1:78">
      <c r="A23" s="153" t="s">
        <v>14</v>
      </c>
      <c r="B23" s="250"/>
      <c r="C23" s="251"/>
      <c r="D23" s="251"/>
      <c r="E23" s="251"/>
      <c r="F23" s="251"/>
      <c r="G23" s="291"/>
      <c r="H23" s="291"/>
      <c r="I23" s="603"/>
      <c r="J23" s="603"/>
      <c r="K23" s="603"/>
      <c r="L23" s="603"/>
      <c r="M23" s="251"/>
      <c r="N23" s="604"/>
      <c r="O23" s="291"/>
      <c r="P23" s="602"/>
      <c r="Q23" s="603"/>
      <c r="R23" s="603"/>
      <c r="S23" s="603"/>
      <c r="T23" s="251"/>
      <c r="U23" s="250"/>
      <c r="V23" s="291"/>
      <c r="W23" s="602">
        <v>1</v>
      </c>
      <c r="X23" s="603"/>
      <c r="Y23" s="603"/>
      <c r="Z23" s="603">
        <v>3</v>
      </c>
      <c r="AA23" s="251">
        <f t="shared" si="10"/>
        <v>4</v>
      </c>
      <c r="AB23" s="602">
        <v>2</v>
      </c>
      <c r="AC23" s="291">
        <f t="shared" si="11"/>
        <v>6</v>
      </c>
      <c r="AD23" s="603"/>
      <c r="AE23" s="603"/>
      <c r="AF23" s="603"/>
      <c r="AG23" s="603"/>
      <c r="AH23" s="251"/>
      <c r="AI23" s="291"/>
      <c r="AJ23" s="291"/>
      <c r="AK23" s="250"/>
      <c r="AL23" s="251"/>
      <c r="AM23" s="251"/>
      <c r="AN23" s="251"/>
      <c r="AO23" s="251"/>
      <c r="AP23" s="291"/>
      <c r="AQ23" s="252"/>
      <c r="AR23" s="251"/>
      <c r="AS23" s="251"/>
      <c r="AT23" s="251"/>
      <c r="AU23" s="251"/>
      <c r="AV23" s="251"/>
      <c r="AW23" s="250"/>
      <c r="AX23" s="291"/>
      <c r="AY23" s="602"/>
      <c r="AZ23" s="603"/>
      <c r="BA23" s="603"/>
      <c r="BB23" s="603"/>
      <c r="BC23" s="251"/>
      <c r="BD23" s="250"/>
      <c r="BE23" s="291"/>
      <c r="BF23" s="250"/>
      <c r="BG23" s="251"/>
      <c r="BH23" s="251"/>
      <c r="BI23" s="251"/>
      <c r="BJ23" s="251"/>
      <c r="BK23" s="250"/>
      <c r="BL23" s="291"/>
      <c r="BM23" s="602"/>
      <c r="BN23" s="603"/>
      <c r="BO23" s="603"/>
      <c r="BP23" s="603"/>
      <c r="BQ23" s="251"/>
      <c r="BR23" s="250"/>
      <c r="BS23" s="291"/>
      <c r="BT23" s="250">
        <f t="shared" si="20"/>
        <v>1</v>
      </c>
      <c r="BU23" s="251"/>
      <c r="BV23" s="251"/>
      <c r="BW23" s="251">
        <f t="shared" si="3"/>
        <v>3</v>
      </c>
      <c r="BX23" s="251">
        <f t="shared" si="22"/>
        <v>4</v>
      </c>
      <c r="BY23" s="291">
        <f t="shared" si="23"/>
        <v>2</v>
      </c>
      <c r="BZ23" s="291">
        <f t="shared" si="24"/>
        <v>6</v>
      </c>
    </row>
    <row r="24" spans="1:78">
      <c r="A24" s="134" t="s">
        <v>15</v>
      </c>
      <c r="B24" s="250"/>
      <c r="C24" s="251"/>
      <c r="D24" s="251"/>
      <c r="E24" s="251"/>
      <c r="F24" s="251"/>
      <c r="G24" s="291"/>
      <c r="H24" s="291"/>
      <c r="I24" s="251"/>
      <c r="J24" s="251"/>
      <c r="K24" s="251"/>
      <c r="L24" s="251"/>
      <c r="M24" s="251"/>
      <c r="N24" s="291"/>
      <c r="O24" s="291"/>
      <c r="P24" s="602"/>
      <c r="Q24" s="603"/>
      <c r="R24" s="603"/>
      <c r="S24" s="603"/>
      <c r="T24" s="251"/>
      <c r="U24" s="602"/>
      <c r="V24" s="291"/>
      <c r="W24" s="602">
        <v>0</v>
      </c>
      <c r="X24" s="603"/>
      <c r="Y24" s="603"/>
      <c r="Z24" s="603">
        <v>1</v>
      </c>
      <c r="AA24" s="251">
        <f t="shared" si="10"/>
        <v>1</v>
      </c>
      <c r="AB24" s="602">
        <v>2</v>
      </c>
      <c r="AC24" s="291">
        <f t="shared" si="11"/>
        <v>3</v>
      </c>
      <c r="AD24" s="603"/>
      <c r="AE24" s="603"/>
      <c r="AF24" s="603"/>
      <c r="AG24" s="603"/>
      <c r="AH24" s="251"/>
      <c r="AI24" s="291"/>
      <c r="AJ24" s="291"/>
      <c r="AK24" s="250"/>
      <c r="AL24" s="251"/>
      <c r="AM24" s="251"/>
      <c r="AN24" s="251"/>
      <c r="AO24" s="251"/>
      <c r="AP24" s="291"/>
      <c r="AQ24" s="252"/>
      <c r="AR24" s="251"/>
      <c r="AS24" s="251"/>
      <c r="AT24" s="251"/>
      <c r="AU24" s="251"/>
      <c r="AV24" s="251"/>
      <c r="AW24" s="291"/>
      <c r="AX24" s="251"/>
      <c r="AY24" s="250"/>
      <c r="AZ24" s="251"/>
      <c r="BA24" s="251"/>
      <c r="BB24" s="251"/>
      <c r="BC24" s="251"/>
      <c r="BD24" s="250"/>
      <c r="BE24" s="291"/>
      <c r="BF24" s="250"/>
      <c r="BG24" s="251"/>
      <c r="BH24" s="251"/>
      <c r="BI24" s="251"/>
      <c r="BJ24" s="251"/>
      <c r="BK24" s="250"/>
      <c r="BL24" s="291"/>
      <c r="BM24" s="602"/>
      <c r="BN24" s="603"/>
      <c r="BO24" s="603"/>
      <c r="BP24" s="603"/>
      <c r="BQ24" s="251"/>
      <c r="BR24" s="250"/>
      <c r="BS24" s="291"/>
      <c r="BT24" s="250">
        <f t="shared" si="20"/>
        <v>0</v>
      </c>
      <c r="BU24" s="251"/>
      <c r="BV24" s="251"/>
      <c r="BW24" s="251">
        <f>E24+L24+S24+Z24+AG24+AN24+AU24+BB24+BI24+BP24</f>
        <v>1</v>
      </c>
      <c r="BX24" s="251">
        <f t="shared" si="22"/>
        <v>1</v>
      </c>
      <c r="BY24" s="291">
        <f t="shared" si="23"/>
        <v>2</v>
      </c>
      <c r="BZ24" s="291">
        <f t="shared" si="24"/>
        <v>3</v>
      </c>
    </row>
    <row r="25" spans="1:78">
      <c r="A25" s="153" t="s">
        <v>16</v>
      </c>
      <c r="B25" s="250"/>
      <c r="C25" s="251"/>
      <c r="D25" s="251"/>
      <c r="E25" s="251"/>
      <c r="F25" s="251"/>
      <c r="G25" s="291"/>
      <c r="H25" s="291"/>
      <c r="I25" s="251"/>
      <c r="J25" s="251"/>
      <c r="K25" s="251"/>
      <c r="L25" s="251"/>
      <c r="M25" s="251"/>
      <c r="N25" s="291"/>
      <c r="O25" s="291"/>
      <c r="P25" s="602"/>
      <c r="Q25" s="603"/>
      <c r="R25" s="603"/>
      <c r="S25" s="603"/>
      <c r="T25" s="251"/>
      <c r="U25" s="250"/>
      <c r="V25" s="291"/>
      <c r="W25" s="602">
        <v>0</v>
      </c>
      <c r="X25" s="603"/>
      <c r="Y25" s="603"/>
      <c r="Z25" s="603"/>
      <c r="AA25" s="251">
        <f t="shared" si="10"/>
        <v>0</v>
      </c>
      <c r="AB25" s="602">
        <v>1</v>
      </c>
      <c r="AC25" s="291">
        <f t="shared" si="11"/>
        <v>1</v>
      </c>
      <c r="AD25" s="603"/>
      <c r="AE25" s="603"/>
      <c r="AF25" s="603"/>
      <c r="AG25" s="603"/>
      <c r="AH25" s="251"/>
      <c r="AI25" s="291"/>
      <c r="AJ25" s="291"/>
      <c r="AK25" s="250"/>
      <c r="AL25" s="251"/>
      <c r="AM25" s="251"/>
      <c r="AN25" s="251"/>
      <c r="AO25" s="251"/>
      <c r="AP25" s="291"/>
      <c r="AQ25" s="252"/>
      <c r="AR25" s="251"/>
      <c r="AS25" s="251"/>
      <c r="AT25" s="251"/>
      <c r="AU25" s="251"/>
      <c r="AV25" s="251"/>
      <c r="AW25" s="291"/>
      <c r="AX25" s="251"/>
      <c r="AY25" s="250"/>
      <c r="AZ25" s="251"/>
      <c r="BA25" s="251"/>
      <c r="BB25" s="251"/>
      <c r="BC25" s="251"/>
      <c r="BD25" s="250"/>
      <c r="BE25" s="291"/>
      <c r="BF25" s="250"/>
      <c r="BG25" s="251"/>
      <c r="BH25" s="251"/>
      <c r="BI25" s="251"/>
      <c r="BJ25" s="251"/>
      <c r="BK25" s="250"/>
      <c r="BL25" s="291"/>
      <c r="BM25" s="250"/>
      <c r="BN25" s="251"/>
      <c r="BO25" s="251"/>
      <c r="BP25" s="251"/>
      <c r="BQ25" s="251"/>
      <c r="BR25" s="250"/>
      <c r="BS25" s="291"/>
      <c r="BT25" s="250">
        <f t="shared" ref="BT25:BT26" si="26">B25+I25+P25+W25+AD25+AK25+AR25+AY25+BF25+BM25</f>
        <v>0</v>
      </c>
      <c r="BU25" s="251"/>
      <c r="BV25" s="251"/>
      <c r="BW25" s="251"/>
      <c r="BX25" s="251">
        <f t="shared" ref="BX25:BX26" si="27">SUM(BT25:BW25)</f>
        <v>0</v>
      </c>
      <c r="BY25" s="291">
        <f t="shared" si="23"/>
        <v>1</v>
      </c>
      <c r="BZ25" s="291">
        <f t="shared" si="24"/>
        <v>1</v>
      </c>
    </row>
    <row r="26" spans="1:78">
      <c r="A26" s="153" t="s">
        <v>17</v>
      </c>
      <c r="B26" s="250"/>
      <c r="C26" s="251"/>
      <c r="D26" s="251"/>
      <c r="E26" s="251"/>
      <c r="F26" s="251"/>
      <c r="G26" s="291"/>
      <c r="H26" s="291"/>
      <c r="I26" s="251"/>
      <c r="J26" s="251"/>
      <c r="K26" s="251"/>
      <c r="L26" s="251"/>
      <c r="M26" s="251"/>
      <c r="N26" s="291"/>
      <c r="O26" s="291"/>
      <c r="P26" s="602"/>
      <c r="Q26" s="603"/>
      <c r="R26" s="603"/>
      <c r="S26" s="603"/>
      <c r="T26" s="251"/>
      <c r="U26" s="250"/>
      <c r="V26" s="291"/>
      <c r="W26" s="602">
        <v>1</v>
      </c>
      <c r="X26" s="603"/>
      <c r="Y26" s="603"/>
      <c r="Z26" s="603"/>
      <c r="AA26" s="251">
        <f t="shared" si="10"/>
        <v>1</v>
      </c>
      <c r="AB26" s="602">
        <v>4</v>
      </c>
      <c r="AC26" s="291">
        <f t="shared" si="11"/>
        <v>5</v>
      </c>
      <c r="AD26" s="603"/>
      <c r="AE26" s="603"/>
      <c r="AF26" s="603"/>
      <c r="AG26" s="603"/>
      <c r="AH26" s="251"/>
      <c r="AI26" s="291"/>
      <c r="AJ26" s="291"/>
      <c r="AK26" s="250"/>
      <c r="AL26" s="251"/>
      <c r="AM26" s="251"/>
      <c r="AN26" s="251"/>
      <c r="AO26" s="251"/>
      <c r="AP26" s="291"/>
      <c r="AQ26" s="252"/>
      <c r="AR26" s="251"/>
      <c r="AS26" s="251"/>
      <c r="AT26" s="251"/>
      <c r="AU26" s="251"/>
      <c r="AV26" s="251"/>
      <c r="AW26" s="291"/>
      <c r="AX26" s="251"/>
      <c r="AY26" s="250"/>
      <c r="AZ26" s="251"/>
      <c r="BA26" s="251"/>
      <c r="BB26" s="251"/>
      <c r="BC26" s="251"/>
      <c r="BD26" s="250"/>
      <c r="BE26" s="291"/>
      <c r="BF26" s="250"/>
      <c r="BG26" s="251"/>
      <c r="BH26" s="251"/>
      <c r="BI26" s="251"/>
      <c r="BJ26" s="251"/>
      <c r="BK26" s="250"/>
      <c r="BL26" s="291"/>
      <c r="BM26" s="250"/>
      <c r="BN26" s="251"/>
      <c r="BO26" s="251"/>
      <c r="BP26" s="251"/>
      <c r="BQ26" s="251"/>
      <c r="BR26" s="250"/>
      <c r="BS26" s="291"/>
      <c r="BT26" s="250">
        <f t="shared" si="26"/>
        <v>1</v>
      </c>
      <c r="BU26" s="251"/>
      <c r="BV26" s="251"/>
      <c r="BW26" s="251"/>
      <c r="BX26" s="251">
        <f t="shared" si="27"/>
        <v>1</v>
      </c>
      <c r="BY26" s="291">
        <f t="shared" si="23"/>
        <v>4</v>
      </c>
      <c r="BZ26" s="291">
        <f t="shared" si="24"/>
        <v>5</v>
      </c>
    </row>
    <row r="27" spans="1:78">
      <c r="A27" s="153" t="s">
        <v>18</v>
      </c>
      <c r="B27" s="250"/>
      <c r="C27" s="251"/>
      <c r="D27" s="251"/>
      <c r="E27" s="251"/>
      <c r="F27" s="251"/>
      <c r="G27" s="291"/>
      <c r="H27" s="291"/>
      <c r="I27" s="251"/>
      <c r="J27" s="251"/>
      <c r="K27" s="251"/>
      <c r="L27" s="251"/>
      <c r="M27" s="251"/>
      <c r="N27" s="291"/>
      <c r="O27" s="291"/>
      <c r="P27" s="602"/>
      <c r="Q27" s="603"/>
      <c r="R27" s="603"/>
      <c r="S27" s="603"/>
      <c r="T27" s="251"/>
      <c r="U27" s="250"/>
      <c r="V27" s="291"/>
      <c r="W27" s="602"/>
      <c r="X27" s="603"/>
      <c r="Y27" s="603"/>
      <c r="Z27" s="603"/>
      <c r="AA27" s="251"/>
      <c r="AB27" s="602">
        <v>1</v>
      </c>
      <c r="AC27" s="291">
        <f t="shared" si="11"/>
        <v>1</v>
      </c>
      <c r="AD27" s="603"/>
      <c r="AE27" s="603"/>
      <c r="AF27" s="603"/>
      <c r="AG27" s="603"/>
      <c r="AH27" s="251"/>
      <c r="AI27" s="291"/>
      <c r="AJ27" s="291"/>
      <c r="AK27" s="250"/>
      <c r="AL27" s="251"/>
      <c r="AM27" s="251"/>
      <c r="AN27" s="251"/>
      <c r="AO27" s="251"/>
      <c r="AP27" s="291"/>
      <c r="AQ27" s="252"/>
      <c r="AR27" s="251"/>
      <c r="AS27" s="251"/>
      <c r="AT27" s="251"/>
      <c r="AU27" s="251"/>
      <c r="AV27" s="251"/>
      <c r="AW27" s="291"/>
      <c r="AX27" s="251"/>
      <c r="AY27" s="250"/>
      <c r="AZ27" s="251"/>
      <c r="BA27" s="251"/>
      <c r="BB27" s="251"/>
      <c r="BC27" s="251"/>
      <c r="BD27" s="250"/>
      <c r="BE27" s="291"/>
      <c r="BF27" s="250"/>
      <c r="BG27" s="251"/>
      <c r="BH27" s="251"/>
      <c r="BI27" s="251"/>
      <c r="BJ27" s="251"/>
      <c r="BK27" s="250"/>
      <c r="BL27" s="291"/>
      <c r="BM27" s="250"/>
      <c r="BN27" s="251"/>
      <c r="BO27" s="251"/>
      <c r="BP27" s="251"/>
      <c r="BQ27" s="251"/>
      <c r="BR27" s="250"/>
      <c r="BS27" s="291"/>
      <c r="BT27" s="250"/>
      <c r="BU27" s="251"/>
      <c r="BV27" s="251"/>
      <c r="BW27" s="251"/>
      <c r="BX27" s="251"/>
      <c r="BY27" s="291">
        <f t="shared" si="23"/>
        <v>1</v>
      </c>
      <c r="BZ27" s="291">
        <f t="shared" si="24"/>
        <v>1</v>
      </c>
    </row>
    <row r="28" spans="1:78">
      <c r="A28" s="153" t="s">
        <v>19</v>
      </c>
      <c r="B28" s="250"/>
      <c r="C28" s="251"/>
      <c r="D28" s="251"/>
      <c r="E28" s="251"/>
      <c r="F28" s="251"/>
      <c r="G28" s="291"/>
      <c r="H28" s="291"/>
      <c r="I28" s="251"/>
      <c r="J28" s="251"/>
      <c r="K28" s="251"/>
      <c r="L28" s="251"/>
      <c r="M28" s="251"/>
      <c r="N28" s="291"/>
      <c r="O28" s="291"/>
      <c r="P28" s="602"/>
      <c r="Q28" s="603"/>
      <c r="R28" s="603"/>
      <c r="S28" s="603"/>
      <c r="T28" s="251"/>
      <c r="U28" s="250"/>
      <c r="V28" s="291"/>
      <c r="W28" s="602"/>
      <c r="X28" s="603"/>
      <c r="Y28" s="603"/>
      <c r="Z28" s="603"/>
      <c r="AA28" s="603"/>
      <c r="AB28" s="602"/>
      <c r="AC28" s="291"/>
      <c r="AD28" s="251"/>
      <c r="AE28" s="251"/>
      <c r="AF28" s="251"/>
      <c r="AG28" s="251"/>
      <c r="AH28" s="251"/>
      <c r="AI28" s="291"/>
      <c r="AJ28" s="291"/>
      <c r="AK28" s="250"/>
      <c r="AL28" s="251"/>
      <c r="AM28" s="251"/>
      <c r="AN28" s="251"/>
      <c r="AO28" s="251"/>
      <c r="AP28" s="291"/>
      <c r="AQ28" s="252"/>
      <c r="AR28" s="251"/>
      <c r="AS28" s="251"/>
      <c r="AT28" s="251"/>
      <c r="AU28" s="251"/>
      <c r="AV28" s="251"/>
      <c r="AW28" s="291"/>
      <c r="AX28" s="251"/>
      <c r="AY28" s="250"/>
      <c r="AZ28" s="251"/>
      <c r="BA28" s="251"/>
      <c r="BB28" s="251"/>
      <c r="BC28" s="251"/>
      <c r="BD28" s="250"/>
      <c r="BE28" s="291"/>
      <c r="BF28" s="250"/>
      <c r="BG28" s="251"/>
      <c r="BH28" s="251"/>
      <c r="BI28" s="251"/>
      <c r="BJ28" s="251"/>
      <c r="BK28" s="250"/>
      <c r="BL28" s="291"/>
      <c r="BM28" s="250"/>
      <c r="BN28" s="251"/>
      <c r="BO28" s="251"/>
      <c r="BP28" s="251"/>
      <c r="BQ28" s="251"/>
      <c r="BR28" s="250"/>
      <c r="BS28" s="291"/>
      <c r="BT28" s="250"/>
      <c r="BU28" s="251"/>
      <c r="BV28" s="251"/>
      <c r="BW28" s="251"/>
      <c r="BX28" s="251"/>
      <c r="BY28" s="291"/>
      <c r="BZ28" s="291"/>
    </row>
    <row r="29" spans="1:78">
      <c r="A29" s="153" t="s">
        <v>20</v>
      </c>
      <c r="B29" s="250"/>
      <c r="C29" s="251"/>
      <c r="D29" s="251"/>
      <c r="E29" s="251"/>
      <c r="F29" s="251"/>
      <c r="G29" s="291"/>
      <c r="H29" s="291"/>
      <c r="I29" s="251"/>
      <c r="J29" s="251"/>
      <c r="K29" s="251"/>
      <c r="L29" s="251"/>
      <c r="M29" s="251"/>
      <c r="N29" s="291"/>
      <c r="O29" s="291"/>
      <c r="P29" s="602"/>
      <c r="Q29" s="603"/>
      <c r="R29" s="603"/>
      <c r="S29" s="603"/>
      <c r="T29" s="251"/>
      <c r="U29" s="250"/>
      <c r="V29" s="291"/>
      <c r="W29" s="602"/>
      <c r="X29" s="603"/>
      <c r="Y29" s="603"/>
      <c r="Z29" s="603"/>
      <c r="AA29" s="603"/>
      <c r="AB29" s="602"/>
      <c r="AC29" s="291"/>
      <c r="AD29" s="251"/>
      <c r="AE29" s="251"/>
      <c r="AF29" s="251"/>
      <c r="AG29" s="251"/>
      <c r="AH29" s="251"/>
      <c r="AI29" s="291"/>
      <c r="AJ29" s="291"/>
      <c r="AK29" s="250"/>
      <c r="AL29" s="251"/>
      <c r="AM29" s="251"/>
      <c r="AN29" s="251"/>
      <c r="AO29" s="251"/>
      <c r="AP29" s="291"/>
      <c r="AQ29" s="252"/>
      <c r="AR29" s="251"/>
      <c r="AS29" s="251"/>
      <c r="AT29" s="251"/>
      <c r="AU29" s="251"/>
      <c r="AV29" s="251"/>
      <c r="AW29" s="291"/>
      <c r="AX29" s="251"/>
      <c r="AY29" s="250"/>
      <c r="AZ29" s="251"/>
      <c r="BA29" s="251"/>
      <c r="BB29" s="251"/>
      <c r="BC29" s="251"/>
      <c r="BD29" s="250"/>
      <c r="BE29" s="291"/>
      <c r="BF29" s="250"/>
      <c r="BG29" s="251"/>
      <c r="BH29" s="251"/>
      <c r="BI29" s="251"/>
      <c r="BJ29" s="251"/>
      <c r="BK29" s="250"/>
      <c r="BL29" s="291"/>
      <c r="BM29" s="250"/>
      <c r="BN29" s="251"/>
      <c r="BO29" s="251"/>
      <c r="BP29" s="251"/>
      <c r="BQ29" s="251"/>
      <c r="BR29" s="250"/>
      <c r="BS29" s="291"/>
      <c r="BT29" s="250"/>
      <c r="BU29" s="251"/>
      <c r="BV29" s="251"/>
      <c r="BW29" s="251"/>
      <c r="BX29" s="251"/>
      <c r="BY29" s="291"/>
      <c r="BZ29" s="291"/>
    </row>
    <row r="30" spans="1:78">
      <c r="A30" s="153" t="s">
        <v>21</v>
      </c>
      <c r="B30" s="250"/>
      <c r="C30" s="251"/>
      <c r="D30" s="251"/>
      <c r="E30" s="251"/>
      <c r="F30" s="251"/>
      <c r="G30" s="291"/>
      <c r="H30" s="291"/>
      <c r="I30" s="251"/>
      <c r="J30" s="251"/>
      <c r="K30" s="251"/>
      <c r="L30" s="251"/>
      <c r="M30" s="251"/>
      <c r="N30" s="291"/>
      <c r="O30" s="291"/>
      <c r="P30" s="602"/>
      <c r="Q30" s="603"/>
      <c r="R30" s="603"/>
      <c r="S30" s="603"/>
      <c r="T30" s="251"/>
      <c r="U30" s="250"/>
      <c r="V30" s="291"/>
      <c r="W30" s="602"/>
      <c r="X30" s="603"/>
      <c r="Y30" s="603"/>
      <c r="Z30" s="603"/>
      <c r="AA30" s="251"/>
      <c r="AB30" s="602"/>
      <c r="AC30" s="291"/>
      <c r="AD30" s="251"/>
      <c r="AE30" s="251"/>
      <c r="AF30" s="251"/>
      <c r="AG30" s="251"/>
      <c r="AH30" s="251"/>
      <c r="AI30" s="291"/>
      <c r="AJ30" s="291"/>
      <c r="AK30" s="250"/>
      <c r="AL30" s="251"/>
      <c r="AM30" s="251"/>
      <c r="AN30" s="251"/>
      <c r="AO30" s="251"/>
      <c r="AP30" s="291"/>
      <c r="AQ30" s="252"/>
      <c r="AR30" s="251"/>
      <c r="AS30" s="251"/>
      <c r="AT30" s="251"/>
      <c r="AU30" s="251"/>
      <c r="AV30" s="251"/>
      <c r="AW30" s="291"/>
      <c r="AX30" s="251"/>
      <c r="AY30" s="250"/>
      <c r="AZ30" s="251"/>
      <c r="BA30" s="251"/>
      <c r="BB30" s="251"/>
      <c r="BC30" s="251"/>
      <c r="BD30" s="250"/>
      <c r="BE30" s="291"/>
      <c r="BF30" s="250"/>
      <c r="BG30" s="251"/>
      <c r="BH30" s="251"/>
      <c r="BI30" s="251"/>
      <c r="BJ30" s="251"/>
      <c r="BK30" s="250"/>
      <c r="BL30" s="291"/>
      <c r="BM30" s="250"/>
      <c r="BN30" s="251"/>
      <c r="BO30" s="251"/>
      <c r="BP30" s="251"/>
      <c r="BQ30" s="251"/>
      <c r="BR30" s="250"/>
      <c r="BS30" s="291"/>
      <c r="BT30" s="250"/>
      <c r="BU30" s="251"/>
      <c r="BV30" s="251"/>
      <c r="BW30" s="251"/>
      <c r="BX30" s="251"/>
      <c r="BY30" s="291"/>
      <c r="BZ30" s="291"/>
    </row>
    <row r="31" spans="1:78">
      <c r="A31" s="153" t="s">
        <v>22</v>
      </c>
      <c r="B31" s="250"/>
      <c r="C31" s="251"/>
      <c r="D31" s="251"/>
      <c r="E31" s="251"/>
      <c r="F31" s="251"/>
      <c r="G31" s="291"/>
      <c r="H31" s="291"/>
      <c r="I31" s="251"/>
      <c r="J31" s="251"/>
      <c r="K31" s="251"/>
      <c r="L31" s="251"/>
      <c r="M31" s="251"/>
      <c r="N31" s="291"/>
      <c r="O31" s="291"/>
      <c r="P31" s="250"/>
      <c r="Q31" s="251"/>
      <c r="R31" s="251"/>
      <c r="S31" s="251"/>
      <c r="T31" s="251"/>
      <c r="U31" s="250"/>
      <c r="V31" s="291"/>
      <c r="W31" s="602"/>
      <c r="X31" s="603"/>
      <c r="Y31" s="603"/>
      <c r="Z31" s="603"/>
      <c r="AA31" s="251"/>
      <c r="AB31" s="602"/>
      <c r="AC31" s="291"/>
      <c r="AD31" s="251"/>
      <c r="AE31" s="251"/>
      <c r="AF31" s="251"/>
      <c r="AG31" s="251"/>
      <c r="AH31" s="251"/>
      <c r="AI31" s="291"/>
      <c r="AJ31" s="291"/>
      <c r="AK31" s="250"/>
      <c r="AL31" s="251"/>
      <c r="AM31" s="251"/>
      <c r="AN31" s="251"/>
      <c r="AO31" s="251"/>
      <c r="AP31" s="291"/>
      <c r="AQ31" s="252"/>
      <c r="AR31" s="251"/>
      <c r="AS31" s="251"/>
      <c r="AT31" s="251"/>
      <c r="AU31" s="251"/>
      <c r="AV31" s="251"/>
      <c r="AW31" s="291"/>
      <c r="AX31" s="251"/>
      <c r="AY31" s="250"/>
      <c r="AZ31" s="251"/>
      <c r="BA31" s="251"/>
      <c r="BB31" s="251"/>
      <c r="BC31" s="251"/>
      <c r="BD31" s="250"/>
      <c r="BE31" s="291"/>
      <c r="BF31" s="250"/>
      <c r="BG31" s="251"/>
      <c r="BH31" s="251"/>
      <c r="BI31" s="251"/>
      <c r="BJ31" s="251"/>
      <c r="BK31" s="250"/>
      <c r="BL31" s="291"/>
      <c r="BM31" s="250"/>
      <c r="BN31" s="251"/>
      <c r="BO31" s="251"/>
      <c r="BP31" s="251"/>
      <c r="BQ31" s="251"/>
      <c r="BR31" s="250"/>
      <c r="BS31" s="291"/>
      <c r="BT31" s="250"/>
      <c r="BU31" s="251"/>
      <c r="BV31" s="251"/>
      <c r="BW31" s="251"/>
      <c r="BX31" s="251"/>
      <c r="BY31" s="291"/>
      <c r="BZ31" s="291"/>
    </row>
    <row r="32" spans="1:78">
      <c r="A32" s="153" t="s">
        <v>23</v>
      </c>
      <c r="B32" s="250"/>
      <c r="C32" s="251"/>
      <c r="D32" s="251"/>
      <c r="E32" s="251"/>
      <c r="F32" s="251"/>
      <c r="G32" s="291"/>
      <c r="H32" s="291"/>
      <c r="I32" s="251"/>
      <c r="J32" s="251"/>
      <c r="K32" s="251"/>
      <c r="L32" s="251"/>
      <c r="M32" s="251"/>
      <c r="N32" s="291"/>
      <c r="O32" s="291"/>
      <c r="P32" s="250"/>
      <c r="Q32" s="251"/>
      <c r="R32" s="251"/>
      <c r="S32" s="251"/>
      <c r="T32" s="251"/>
      <c r="U32" s="250"/>
      <c r="V32" s="291"/>
      <c r="W32" s="250"/>
      <c r="X32" s="251"/>
      <c r="Y32" s="251"/>
      <c r="Z32" s="251"/>
      <c r="AA32" s="251"/>
      <c r="AB32" s="291"/>
      <c r="AC32" s="291"/>
      <c r="AD32" s="251"/>
      <c r="AE32" s="251"/>
      <c r="AF32" s="251"/>
      <c r="AG32" s="251"/>
      <c r="AH32" s="251"/>
      <c r="AI32" s="291"/>
      <c r="AJ32" s="291"/>
      <c r="AK32" s="250"/>
      <c r="AL32" s="251"/>
      <c r="AM32" s="251"/>
      <c r="AN32" s="251"/>
      <c r="AO32" s="251"/>
      <c r="AP32" s="291"/>
      <c r="AQ32" s="252"/>
      <c r="AR32" s="251"/>
      <c r="AS32" s="251"/>
      <c r="AT32" s="251"/>
      <c r="AU32" s="251"/>
      <c r="AV32" s="251"/>
      <c r="AW32" s="291"/>
      <c r="AX32" s="251"/>
      <c r="AY32" s="250"/>
      <c r="AZ32" s="251"/>
      <c r="BA32" s="251"/>
      <c r="BB32" s="251"/>
      <c r="BC32" s="251"/>
      <c r="BD32" s="250"/>
      <c r="BE32" s="291"/>
      <c r="BF32" s="250"/>
      <c r="BG32" s="251"/>
      <c r="BH32" s="251"/>
      <c r="BI32" s="251"/>
      <c r="BJ32" s="251"/>
      <c r="BK32" s="250"/>
      <c r="BL32" s="291"/>
      <c r="BM32" s="250"/>
      <c r="BN32" s="251"/>
      <c r="BO32" s="251"/>
      <c r="BP32" s="251"/>
      <c r="BQ32" s="251"/>
      <c r="BR32" s="250"/>
      <c r="BS32" s="291"/>
      <c r="BT32" s="250"/>
      <c r="BU32" s="251"/>
      <c r="BV32" s="251"/>
      <c r="BW32" s="251"/>
      <c r="BX32" s="251"/>
      <c r="BY32" s="291"/>
      <c r="BZ32" s="291"/>
    </row>
    <row r="33" spans="1:81">
      <c r="A33" s="153" t="s">
        <v>24</v>
      </c>
      <c r="B33" s="250"/>
      <c r="C33" s="251"/>
      <c r="D33" s="251"/>
      <c r="E33" s="251"/>
      <c r="F33" s="251"/>
      <c r="G33" s="291"/>
      <c r="H33" s="291"/>
      <c r="I33" s="251"/>
      <c r="J33" s="251"/>
      <c r="K33" s="251"/>
      <c r="L33" s="251"/>
      <c r="M33" s="251"/>
      <c r="N33" s="291"/>
      <c r="O33" s="291"/>
      <c r="P33" s="250"/>
      <c r="Q33" s="251"/>
      <c r="R33" s="251"/>
      <c r="S33" s="251"/>
      <c r="T33" s="251"/>
      <c r="U33" s="250"/>
      <c r="V33" s="291"/>
      <c r="W33" s="250"/>
      <c r="X33" s="251"/>
      <c r="Y33" s="251"/>
      <c r="Z33" s="251"/>
      <c r="AA33" s="251"/>
      <c r="AB33" s="291"/>
      <c r="AC33" s="291"/>
      <c r="AD33" s="251"/>
      <c r="AE33" s="251"/>
      <c r="AF33" s="251"/>
      <c r="AG33" s="251"/>
      <c r="AH33" s="251"/>
      <c r="AI33" s="291"/>
      <c r="AJ33" s="291"/>
      <c r="AK33" s="250"/>
      <c r="AL33" s="251"/>
      <c r="AM33" s="251"/>
      <c r="AN33" s="251"/>
      <c r="AO33" s="251"/>
      <c r="AP33" s="291"/>
      <c r="AQ33" s="252"/>
      <c r="AR33" s="251"/>
      <c r="AS33" s="251"/>
      <c r="AT33" s="251"/>
      <c r="AU33" s="251"/>
      <c r="AV33" s="251"/>
      <c r="AW33" s="291"/>
      <c r="AX33" s="251"/>
      <c r="AY33" s="250"/>
      <c r="AZ33" s="251"/>
      <c r="BA33" s="251"/>
      <c r="BB33" s="251"/>
      <c r="BC33" s="251"/>
      <c r="BD33" s="250"/>
      <c r="BE33" s="291"/>
      <c r="BF33" s="250"/>
      <c r="BG33" s="251"/>
      <c r="BH33" s="251"/>
      <c r="BI33" s="251"/>
      <c r="BJ33" s="251"/>
      <c r="BK33" s="250"/>
      <c r="BL33" s="291"/>
      <c r="BM33" s="250"/>
      <c r="BN33" s="251"/>
      <c r="BO33" s="251"/>
      <c r="BP33" s="251"/>
      <c r="BQ33" s="251"/>
      <c r="BR33" s="250"/>
      <c r="BS33" s="291"/>
      <c r="BT33" s="250"/>
      <c r="BU33" s="251"/>
      <c r="BV33" s="251"/>
      <c r="BW33" s="251"/>
      <c r="BX33" s="251"/>
      <c r="BY33" s="291"/>
      <c r="BZ33" s="291"/>
    </row>
    <row r="34" spans="1:81">
      <c r="A34" s="153" t="s">
        <v>25</v>
      </c>
      <c r="B34" s="250"/>
      <c r="C34" s="251"/>
      <c r="D34" s="251"/>
      <c r="E34" s="251"/>
      <c r="F34" s="251"/>
      <c r="G34" s="291"/>
      <c r="H34" s="291"/>
      <c r="I34" s="251"/>
      <c r="J34" s="251"/>
      <c r="K34" s="251"/>
      <c r="L34" s="251"/>
      <c r="M34" s="251"/>
      <c r="N34" s="291"/>
      <c r="O34" s="291"/>
      <c r="P34" s="250"/>
      <c r="Q34" s="251"/>
      <c r="R34" s="251"/>
      <c r="S34" s="251"/>
      <c r="T34" s="251"/>
      <c r="U34" s="250"/>
      <c r="V34" s="291"/>
      <c r="W34" s="250"/>
      <c r="X34" s="251"/>
      <c r="Y34" s="251"/>
      <c r="Z34" s="251"/>
      <c r="AA34" s="251"/>
      <c r="AB34" s="291"/>
      <c r="AC34" s="291"/>
      <c r="AD34" s="251"/>
      <c r="AE34" s="251"/>
      <c r="AF34" s="251"/>
      <c r="AG34" s="251"/>
      <c r="AH34" s="251"/>
      <c r="AI34" s="291"/>
      <c r="AJ34" s="291"/>
      <c r="AK34" s="250"/>
      <c r="AL34" s="251"/>
      <c r="AM34" s="251"/>
      <c r="AN34" s="251"/>
      <c r="AO34" s="251"/>
      <c r="AP34" s="291"/>
      <c r="AQ34" s="252"/>
      <c r="AR34" s="251"/>
      <c r="AS34" s="251"/>
      <c r="AT34" s="251"/>
      <c r="AU34" s="251"/>
      <c r="AV34" s="251"/>
      <c r="AW34" s="291"/>
      <c r="AX34" s="251"/>
      <c r="AY34" s="250"/>
      <c r="AZ34" s="251"/>
      <c r="BA34" s="251"/>
      <c r="BB34" s="251"/>
      <c r="BC34" s="251"/>
      <c r="BD34" s="250"/>
      <c r="BE34" s="291"/>
      <c r="BF34" s="250"/>
      <c r="BG34" s="251"/>
      <c r="BH34" s="251"/>
      <c r="BI34" s="251"/>
      <c r="BJ34" s="251"/>
      <c r="BK34" s="250"/>
      <c r="BL34" s="291"/>
      <c r="BM34" s="250"/>
      <c r="BN34" s="251"/>
      <c r="BO34" s="251"/>
      <c r="BP34" s="251"/>
      <c r="BQ34" s="251"/>
      <c r="BR34" s="250"/>
      <c r="BS34" s="291"/>
      <c r="BT34" s="250"/>
      <c r="BU34" s="251"/>
      <c r="BV34" s="251"/>
      <c r="BW34" s="251"/>
      <c r="BX34" s="251"/>
      <c r="BY34" s="291"/>
      <c r="BZ34" s="291"/>
    </row>
    <row r="35" spans="1:81">
      <c r="A35" s="153" t="s">
        <v>125</v>
      </c>
      <c r="B35" s="250"/>
      <c r="C35" s="251"/>
      <c r="D35" s="251"/>
      <c r="E35" s="251"/>
      <c r="F35" s="251"/>
      <c r="G35" s="291"/>
      <c r="H35" s="291"/>
      <c r="I35" s="251"/>
      <c r="J35" s="251"/>
      <c r="K35" s="251"/>
      <c r="L35" s="251"/>
      <c r="M35" s="251"/>
      <c r="N35" s="291"/>
      <c r="O35" s="291"/>
      <c r="P35" s="250"/>
      <c r="Q35" s="251"/>
      <c r="R35" s="251"/>
      <c r="S35" s="251"/>
      <c r="T35" s="251"/>
      <c r="U35" s="250"/>
      <c r="V35" s="291"/>
      <c r="W35" s="250"/>
      <c r="X35" s="251"/>
      <c r="Y35" s="251"/>
      <c r="Z35" s="251"/>
      <c r="AA35" s="251"/>
      <c r="AB35" s="291"/>
      <c r="AC35" s="291"/>
      <c r="AD35" s="251"/>
      <c r="AE35" s="251"/>
      <c r="AF35" s="251"/>
      <c r="AG35" s="251"/>
      <c r="AH35" s="251"/>
      <c r="AI35" s="291"/>
      <c r="AJ35" s="291"/>
      <c r="AK35" s="250"/>
      <c r="AL35" s="251"/>
      <c r="AM35" s="251"/>
      <c r="AN35" s="251"/>
      <c r="AO35" s="251"/>
      <c r="AP35" s="291"/>
      <c r="AQ35" s="252"/>
      <c r="AR35" s="251"/>
      <c r="AS35" s="251"/>
      <c r="AT35" s="251"/>
      <c r="AU35" s="251"/>
      <c r="AV35" s="251"/>
      <c r="AW35" s="291"/>
      <c r="AX35" s="251"/>
      <c r="AY35" s="250"/>
      <c r="AZ35" s="251"/>
      <c r="BA35" s="251"/>
      <c r="BB35" s="251"/>
      <c r="BC35" s="251"/>
      <c r="BD35" s="250"/>
      <c r="BE35" s="291"/>
      <c r="BF35" s="250"/>
      <c r="BG35" s="251"/>
      <c r="BH35" s="251"/>
      <c r="BI35" s="251"/>
      <c r="BJ35" s="251"/>
      <c r="BK35" s="250"/>
      <c r="BL35" s="291"/>
      <c r="BM35" s="250"/>
      <c r="BN35" s="251"/>
      <c r="BO35" s="251"/>
      <c r="BP35" s="251"/>
      <c r="BQ35" s="251"/>
      <c r="BR35" s="250"/>
      <c r="BS35" s="291"/>
      <c r="BT35" s="250"/>
      <c r="BU35" s="251"/>
      <c r="BV35" s="251"/>
      <c r="BW35" s="251"/>
      <c r="BX35" s="251"/>
      <c r="BY35" s="291"/>
      <c r="BZ35" s="291"/>
    </row>
    <row r="36" spans="1:81">
      <c r="A36" s="153" t="s">
        <v>126</v>
      </c>
      <c r="B36" s="250"/>
      <c r="C36" s="251"/>
      <c r="D36" s="251"/>
      <c r="E36" s="251"/>
      <c r="F36" s="251"/>
      <c r="G36" s="291"/>
      <c r="H36" s="291"/>
      <c r="I36" s="251"/>
      <c r="J36" s="251"/>
      <c r="K36" s="251"/>
      <c r="L36" s="251"/>
      <c r="M36" s="251"/>
      <c r="N36" s="291"/>
      <c r="O36" s="291"/>
      <c r="P36" s="250"/>
      <c r="Q36" s="251"/>
      <c r="R36" s="251"/>
      <c r="S36" s="251"/>
      <c r="T36" s="251"/>
      <c r="U36" s="250"/>
      <c r="V36" s="291"/>
      <c r="W36" s="250"/>
      <c r="X36" s="251"/>
      <c r="Y36" s="251"/>
      <c r="Z36" s="251"/>
      <c r="AA36" s="251"/>
      <c r="AB36" s="291"/>
      <c r="AC36" s="291"/>
      <c r="AD36" s="251"/>
      <c r="AE36" s="251"/>
      <c r="AF36" s="251"/>
      <c r="AG36" s="251"/>
      <c r="AH36" s="251"/>
      <c r="AI36" s="291"/>
      <c r="AJ36" s="291"/>
      <c r="AK36" s="250"/>
      <c r="AL36" s="251"/>
      <c r="AM36" s="251"/>
      <c r="AN36" s="251"/>
      <c r="AO36" s="251"/>
      <c r="AP36" s="291"/>
      <c r="AQ36" s="252"/>
      <c r="AR36" s="251"/>
      <c r="AS36" s="251"/>
      <c r="AT36" s="251"/>
      <c r="AU36" s="251"/>
      <c r="AV36" s="251"/>
      <c r="AW36" s="291"/>
      <c r="AX36" s="251"/>
      <c r="AY36" s="250"/>
      <c r="AZ36" s="251"/>
      <c r="BA36" s="251"/>
      <c r="BB36" s="251"/>
      <c r="BC36" s="251"/>
      <c r="BD36" s="250"/>
      <c r="BE36" s="291"/>
      <c r="BF36" s="250"/>
      <c r="BG36" s="251"/>
      <c r="BH36" s="251"/>
      <c r="BI36" s="251"/>
      <c r="BJ36" s="251"/>
      <c r="BK36" s="250"/>
      <c r="BL36" s="291"/>
      <c r="BM36" s="250"/>
      <c r="BN36" s="251"/>
      <c r="BO36" s="251"/>
      <c r="BP36" s="251"/>
      <c r="BQ36" s="251"/>
      <c r="BR36" s="250"/>
      <c r="BS36" s="291"/>
      <c r="BT36" s="250"/>
      <c r="BU36" s="251"/>
      <c r="BV36" s="251"/>
      <c r="BW36" s="251"/>
      <c r="BX36" s="251"/>
      <c r="BY36" s="291"/>
      <c r="BZ36" s="291"/>
    </row>
    <row r="37" spans="1:81">
      <c r="A37" s="153" t="s">
        <v>26</v>
      </c>
      <c r="B37" s="250"/>
      <c r="C37" s="251"/>
      <c r="D37" s="251"/>
      <c r="E37" s="251"/>
      <c r="F37" s="251"/>
      <c r="G37" s="291"/>
      <c r="H37" s="291"/>
      <c r="I37" s="251"/>
      <c r="J37" s="251"/>
      <c r="K37" s="251"/>
      <c r="L37" s="251"/>
      <c r="M37" s="251"/>
      <c r="N37" s="291"/>
      <c r="O37" s="291"/>
      <c r="P37" s="250"/>
      <c r="Q37" s="251"/>
      <c r="R37" s="251"/>
      <c r="S37" s="251"/>
      <c r="T37" s="251"/>
      <c r="U37" s="250"/>
      <c r="V37" s="291"/>
      <c r="W37" s="250"/>
      <c r="X37" s="251"/>
      <c r="Y37" s="251"/>
      <c r="Z37" s="251"/>
      <c r="AA37" s="251"/>
      <c r="AB37" s="291"/>
      <c r="AC37" s="291"/>
      <c r="AD37" s="251"/>
      <c r="AE37" s="251"/>
      <c r="AF37" s="251"/>
      <c r="AG37" s="251"/>
      <c r="AH37" s="251"/>
      <c r="AI37" s="291"/>
      <c r="AJ37" s="291"/>
      <c r="AK37" s="250"/>
      <c r="AL37" s="251"/>
      <c r="AM37" s="251"/>
      <c r="AN37" s="251"/>
      <c r="AO37" s="251"/>
      <c r="AP37" s="291"/>
      <c r="AQ37" s="252"/>
      <c r="AR37" s="251"/>
      <c r="AS37" s="251"/>
      <c r="AT37" s="251"/>
      <c r="AU37" s="251"/>
      <c r="AV37" s="251"/>
      <c r="AW37" s="291"/>
      <c r="AX37" s="251"/>
      <c r="AY37" s="250"/>
      <c r="AZ37" s="251"/>
      <c r="BA37" s="251"/>
      <c r="BB37" s="251"/>
      <c r="BC37" s="251"/>
      <c r="BD37" s="250"/>
      <c r="BE37" s="291"/>
      <c r="BF37" s="250"/>
      <c r="BG37" s="251"/>
      <c r="BH37" s="251"/>
      <c r="BI37" s="251"/>
      <c r="BJ37" s="251"/>
      <c r="BK37" s="250"/>
      <c r="BL37" s="291"/>
      <c r="BM37" s="250"/>
      <c r="BN37" s="251"/>
      <c r="BO37" s="251"/>
      <c r="BP37" s="251"/>
      <c r="BQ37" s="251"/>
      <c r="BR37" s="250"/>
      <c r="BS37" s="291"/>
      <c r="BT37" s="250"/>
      <c r="BU37" s="251"/>
      <c r="BV37" s="251"/>
      <c r="BW37" s="251"/>
      <c r="BX37" s="251"/>
      <c r="BY37" s="291"/>
      <c r="BZ37" s="291"/>
    </row>
    <row r="38" spans="1:81">
      <c r="A38" s="153" t="s">
        <v>27</v>
      </c>
      <c r="B38" s="250"/>
      <c r="C38" s="251"/>
      <c r="D38" s="251"/>
      <c r="E38" s="251"/>
      <c r="F38" s="251"/>
      <c r="G38" s="291"/>
      <c r="H38" s="291"/>
      <c r="I38" s="251"/>
      <c r="J38" s="251"/>
      <c r="K38" s="251"/>
      <c r="L38" s="251"/>
      <c r="M38" s="251"/>
      <c r="N38" s="291"/>
      <c r="O38" s="291"/>
      <c r="P38" s="250"/>
      <c r="Q38" s="251"/>
      <c r="R38" s="251"/>
      <c r="S38" s="251"/>
      <c r="T38" s="251"/>
      <c r="U38" s="250"/>
      <c r="V38" s="291"/>
      <c r="W38" s="250"/>
      <c r="X38" s="251"/>
      <c r="Y38" s="251"/>
      <c r="Z38" s="251"/>
      <c r="AA38" s="251"/>
      <c r="AB38" s="291"/>
      <c r="AC38" s="291"/>
      <c r="AD38" s="251"/>
      <c r="AE38" s="251"/>
      <c r="AF38" s="251"/>
      <c r="AG38" s="251"/>
      <c r="AH38" s="251"/>
      <c r="AI38" s="291"/>
      <c r="AJ38" s="291"/>
      <c r="AK38" s="250"/>
      <c r="AL38" s="251"/>
      <c r="AM38" s="251"/>
      <c r="AN38" s="251"/>
      <c r="AO38" s="251"/>
      <c r="AP38" s="291"/>
      <c r="AQ38" s="252"/>
      <c r="AR38" s="251"/>
      <c r="AS38" s="251"/>
      <c r="AT38" s="251"/>
      <c r="AU38" s="251"/>
      <c r="AV38" s="251"/>
      <c r="AW38" s="291"/>
      <c r="AX38" s="251"/>
      <c r="AY38" s="250"/>
      <c r="AZ38" s="251"/>
      <c r="BA38" s="251"/>
      <c r="BB38" s="251"/>
      <c r="BC38" s="251"/>
      <c r="BD38" s="250"/>
      <c r="BE38" s="291"/>
      <c r="BF38" s="250"/>
      <c r="BG38" s="251"/>
      <c r="BH38" s="251"/>
      <c r="BI38" s="251"/>
      <c r="BJ38" s="251"/>
      <c r="BK38" s="250"/>
      <c r="BL38" s="291"/>
      <c r="BM38" s="250"/>
      <c r="BN38" s="251"/>
      <c r="BO38" s="251"/>
      <c r="BP38" s="251"/>
      <c r="BQ38" s="251"/>
      <c r="BR38" s="250"/>
      <c r="BS38" s="291"/>
      <c r="BT38" s="250"/>
      <c r="BU38" s="251"/>
      <c r="BV38" s="251"/>
      <c r="BW38" s="251"/>
      <c r="BX38" s="251"/>
      <c r="BY38" s="291"/>
      <c r="BZ38" s="291"/>
    </row>
    <row r="39" spans="1:81" ht="13.5" thickBot="1">
      <c r="A39" s="153"/>
      <c r="B39" s="250"/>
      <c r="C39" s="251"/>
      <c r="D39" s="251"/>
      <c r="E39" s="251"/>
      <c r="F39" s="251"/>
      <c r="G39" s="291"/>
      <c r="H39" s="291"/>
      <c r="I39" s="251"/>
      <c r="J39" s="251"/>
      <c r="K39" s="251"/>
      <c r="L39" s="251"/>
      <c r="M39" s="251"/>
      <c r="N39" s="473"/>
      <c r="O39" s="291"/>
      <c r="P39" s="250"/>
      <c r="Q39" s="251"/>
      <c r="R39" s="251"/>
      <c r="S39" s="251"/>
      <c r="T39" s="251"/>
      <c r="U39" s="250"/>
      <c r="V39" s="291"/>
      <c r="W39" s="250"/>
      <c r="X39" s="251"/>
      <c r="Y39" s="251"/>
      <c r="Z39" s="251"/>
      <c r="AA39" s="251"/>
      <c r="AB39" s="291"/>
      <c r="AC39" s="291"/>
      <c r="AD39" s="251"/>
      <c r="AE39" s="251"/>
      <c r="AF39" s="251"/>
      <c r="AG39" s="251"/>
      <c r="AH39" s="251"/>
      <c r="AI39" s="291"/>
      <c r="AJ39" s="291"/>
      <c r="AK39" s="250"/>
      <c r="AL39" s="251"/>
      <c r="AM39" s="251"/>
      <c r="AN39" s="251"/>
      <c r="AO39" s="251"/>
      <c r="AP39" s="291"/>
      <c r="AQ39" s="252"/>
      <c r="AR39" s="251"/>
      <c r="AS39" s="251"/>
      <c r="AT39" s="251"/>
      <c r="AU39" s="251"/>
      <c r="AV39" s="251"/>
      <c r="AW39" s="291"/>
      <c r="AX39" s="251"/>
      <c r="AY39" s="250"/>
      <c r="AZ39" s="251"/>
      <c r="BA39" s="251"/>
      <c r="BB39" s="251"/>
      <c r="BC39" s="251"/>
      <c r="BD39" s="250"/>
      <c r="BE39" s="291"/>
      <c r="BF39" s="250"/>
      <c r="BG39" s="251"/>
      <c r="BH39" s="251"/>
      <c r="BI39" s="251"/>
      <c r="BJ39" s="251"/>
      <c r="BK39" s="250"/>
      <c r="BL39" s="291"/>
      <c r="BM39" s="250"/>
      <c r="BN39" s="251"/>
      <c r="BO39" s="251"/>
      <c r="BP39" s="251"/>
      <c r="BQ39" s="251"/>
      <c r="BR39" s="250"/>
      <c r="BS39" s="291"/>
      <c r="BT39" s="250"/>
      <c r="BU39" s="251"/>
      <c r="BV39" s="251"/>
      <c r="BW39" s="251"/>
      <c r="BX39" s="251"/>
      <c r="BY39" s="291"/>
      <c r="BZ39" s="291"/>
    </row>
    <row r="40" spans="1:81" ht="13.5" thickBot="1">
      <c r="A40" s="245" t="s">
        <v>2</v>
      </c>
      <c r="B40" s="770">
        <f t="shared" ref="B40:AH40" si="28">SUM(B8:B38)</f>
        <v>1255495</v>
      </c>
      <c r="C40" s="771">
        <f t="shared" si="28"/>
        <v>317</v>
      </c>
      <c r="D40" s="771">
        <f t="shared" si="28"/>
        <v>1695</v>
      </c>
      <c r="E40" s="771">
        <f t="shared" si="28"/>
        <v>34</v>
      </c>
      <c r="F40" s="771">
        <f t="shared" si="28"/>
        <v>1257541</v>
      </c>
      <c r="G40" s="772"/>
      <c r="H40" s="772">
        <f t="shared" si="28"/>
        <v>1257541</v>
      </c>
      <c r="I40" s="771">
        <f t="shared" si="28"/>
        <v>3580</v>
      </c>
      <c r="J40" s="771">
        <f t="shared" si="28"/>
        <v>10</v>
      </c>
      <c r="K40" s="771">
        <f t="shared" si="28"/>
        <v>30</v>
      </c>
      <c r="L40" s="771">
        <f t="shared" si="28"/>
        <v>1</v>
      </c>
      <c r="M40" s="771">
        <f t="shared" si="28"/>
        <v>3621</v>
      </c>
      <c r="N40" s="770">
        <f t="shared" si="28"/>
        <v>1</v>
      </c>
      <c r="O40" s="772">
        <f t="shared" si="28"/>
        <v>3622</v>
      </c>
      <c r="P40" s="770">
        <f t="shared" si="28"/>
        <v>202</v>
      </c>
      <c r="Q40" s="771">
        <f t="shared" si="28"/>
        <v>1</v>
      </c>
      <c r="R40" s="771">
        <f t="shared" si="28"/>
        <v>29</v>
      </c>
      <c r="S40" s="771">
        <f t="shared" si="28"/>
        <v>2</v>
      </c>
      <c r="T40" s="771">
        <f t="shared" si="28"/>
        <v>234</v>
      </c>
      <c r="U40" s="770">
        <f t="shared" si="28"/>
        <v>1</v>
      </c>
      <c r="V40" s="772">
        <f t="shared" si="28"/>
        <v>235</v>
      </c>
      <c r="W40" s="770">
        <f t="shared" si="28"/>
        <v>276</v>
      </c>
      <c r="X40" s="771">
        <f t="shared" si="28"/>
        <v>5</v>
      </c>
      <c r="Y40" s="771">
        <f t="shared" si="28"/>
        <v>9</v>
      </c>
      <c r="Z40" s="771">
        <f t="shared" si="28"/>
        <v>60</v>
      </c>
      <c r="AA40" s="771">
        <f t="shared" si="28"/>
        <v>350</v>
      </c>
      <c r="AB40" s="772">
        <f>SUM(AB8:AB38)</f>
        <v>50</v>
      </c>
      <c r="AC40" s="772">
        <f t="shared" si="28"/>
        <v>400</v>
      </c>
      <c r="AD40" s="770">
        <f t="shared" si="28"/>
        <v>38</v>
      </c>
      <c r="AE40" s="771">
        <f t="shared" si="28"/>
        <v>2</v>
      </c>
      <c r="AF40" s="771">
        <f t="shared" si="28"/>
        <v>1</v>
      </c>
      <c r="AG40" s="771">
        <f t="shared" si="28"/>
        <v>3</v>
      </c>
      <c r="AH40" s="771">
        <f t="shared" si="28"/>
        <v>44</v>
      </c>
      <c r="AI40" s="772"/>
      <c r="AJ40" s="772">
        <f>SUM(AJ8:AJ38)</f>
        <v>44</v>
      </c>
      <c r="AK40" s="770">
        <f>SUM(AK8:AK38)</f>
        <v>1091</v>
      </c>
      <c r="AL40" s="771"/>
      <c r="AM40" s="771"/>
      <c r="AN40" s="771"/>
      <c r="AO40" s="771">
        <f>SUM(AO8:AO38)</f>
        <v>1091</v>
      </c>
      <c r="AP40" s="772"/>
      <c r="AQ40" s="773">
        <f>SUM(AQ8:AQ38)</f>
        <v>1091</v>
      </c>
      <c r="AR40" s="770">
        <f>SUM(AR8:AR38)</f>
        <v>4508</v>
      </c>
      <c r="AS40" s="771">
        <f>SUM(AS8:AS38)</f>
        <v>1</v>
      </c>
      <c r="AT40" s="771">
        <f>SUM(AT8:AT38)</f>
        <v>8</v>
      </c>
      <c r="AU40" s="771"/>
      <c r="AV40" s="773">
        <f>SUM(AV8:AV38)</f>
        <v>4517</v>
      </c>
      <c r="AW40" s="770"/>
      <c r="AX40" s="772">
        <f>SUM(AX8:AX38)</f>
        <v>4517</v>
      </c>
      <c r="AY40" s="770">
        <f>SUM(AY8:AY38)</f>
        <v>3550</v>
      </c>
      <c r="AZ40" s="771">
        <f>SUM(AZ8:AZ38)</f>
        <v>3</v>
      </c>
      <c r="BA40" s="771">
        <f>SUM(BA8:BA38)</f>
        <v>4</v>
      </c>
      <c r="BB40" s="771"/>
      <c r="BC40" s="771">
        <f>SUM(BC8:BC38)</f>
        <v>3557</v>
      </c>
      <c r="BD40" s="770"/>
      <c r="BE40" s="772">
        <f>SUM(BE8:BE38)</f>
        <v>3557</v>
      </c>
      <c r="BF40" s="770">
        <f>SUM(BF8:BF38)</f>
        <v>301</v>
      </c>
      <c r="BG40" s="771"/>
      <c r="BH40" s="771">
        <f>SUM(BH8:BH38)</f>
        <v>5</v>
      </c>
      <c r="BI40" s="771"/>
      <c r="BJ40" s="771">
        <f>SUM(BJ8:BJ38)</f>
        <v>306</v>
      </c>
      <c r="BK40" s="770"/>
      <c r="BL40" s="772">
        <f t="shared" ref="BL40:BQ40" si="29">SUM(BL8:BL38)</f>
        <v>306</v>
      </c>
      <c r="BM40" s="770">
        <f t="shared" si="29"/>
        <v>8258</v>
      </c>
      <c r="BN40" s="771">
        <f t="shared" si="29"/>
        <v>3</v>
      </c>
      <c r="BO40" s="771">
        <f t="shared" si="29"/>
        <v>6</v>
      </c>
      <c r="BP40" s="771"/>
      <c r="BQ40" s="773">
        <f t="shared" si="29"/>
        <v>8267</v>
      </c>
      <c r="BR40" s="771"/>
      <c r="BS40" s="772">
        <f t="shared" ref="BS40:BY40" si="30">SUM(BS8:BS38)</f>
        <v>8267</v>
      </c>
      <c r="BT40" s="770">
        <f t="shared" si="30"/>
        <v>1277299</v>
      </c>
      <c r="BU40" s="771">
        <f t="shared" si="30"/>
        <v>342</v>
      </c>
      <c r="BV40" s="771">
        <f t="shared" si="30"/>
        <v>1787</v>
      </c>
      <c r="BW40" s="771">
        <f t="shared" si="30"/>
        <v>100</v>
      </c>
      <c r="BX40" s="771">
        <f t="shared" si="30"/>
        <v>1279528</v>
      </c>
      <c r="BY40" s="772">
        <f t="shared" si="30"/>
        <v>52</v>
      </c>
      <c r="BZ40" s="772">
        <f>SUM(BZ8:BZ38)</f>
        <v>1279580</v>
      </c>
      <c r="CB40" s="242"/>
      <c r="CC40" s="18"/>
    </row>
    <row r="41" spans="1:81">
      <c r="A41" s="149"/>
      <c r="B41" s="413"/>
      <c r="C41" s="413"/>
      <c r="D41" s="413"/>
      <c r="E41" s="413"/>
      <c r="F41" s="413"/>
      <c r="G41" s="413"/>
      <c r="H41" s="413"/>
      <c r="I41" s="413"/>
      <c r="J41" s="413"/>
      <c r="K41" s="413"/>
      <c r="L41" s="413"/>
      <c r="M41" s="413"/>
      <c r="N41" s="413"/>
      <c r="O41" s="413"/>
      <c r="P41" s="413"/>
      <c r="Q41" s="413"/>
      <c r="R41" s="413"/>
      <c r="S41" s="413"/>
      <c r="T41" s="413"/>
      <c r="U41" s="413"/>
      <c r="V41" s="413"/>
      <c r="W41" s="413"/>
      <c r="X41" s="413"/>
      <c r="Y41" s="413"/>
      <c r="Z41" s="413"/>
      <c r="AA41" s="413"/>
      <c r="AB41" s="413"/>
      <c r="AC41" s="413"/>
      <c r="AD41" s="413"/>
      <c r="AE41" s="413"/>
      <c r="AF41" s="413"/>
      <c r="AG41" s="413"/>
      <c r="AH41" s="413"/>
      <c r="AI41" s="413"/>
      <c r="AJ41" s="413"/>
      <c r="AK41" s="413"/>
      <c r="AL41" s="413"/>
      <c r="AM41" s="413"/>
      <c r="AN41" s="413"/>
      <c r="AO41" s="413"/>
      <c r="AP41" s="413"/>
      <c r="AQ41" s="413"/>
      <c r="AR41" s="13"/>
      <c r="AS41" s="13"/>
      <c r="AT41" s="13"/>
      <c r="AU41" s="13"/>
      <c r="AV41" s="13"/>
      <c r="AW41" s="413"/>
      <c r="AX41" s="413"/>
      <c r="AY41" s="413"/>
      <c r="AZ41" s="413"/>
      <c r="BA41" s="413"/>
      <c r="BB41" s="413"/>
      <c r="BC41" s="413"/>
      <c r="BD41" s="413"/>
      <c r="BE41" s="413"/>
      <c r="BF41" s="413"/>
      <c r="BG41" s="413"/>
      <c r="BH41" s="413"/>
      <c r="BI41" s="413"/>
      <c r="BJ41" s="413"/>
      <c r="BK41" s="413"/>
      <c r="BL41" s="413"/>
      <c r="BM41" s="13"/>
      <c r="BN41" s="13"/>
      <c r="BO41" s="13"/>
      <c r="BP41" s="13"/>
      <c r="BQ41" s="13"/>
      <c r="BR41" s="413"/>
      <c r="BS41" s="413"/>
      <c r="BT41" s="413"/>
      <c r="BU41" s="413"/>
      <c r="BV41" s="413"/>
      <c r="BW41" s="413"/>
      <c r="BX41" s="413"/>
      <c r="BY41" s="159"/>
      <c r="BZ41" s="575"/>
      <c r="CB41" s="18"/>
    </row>
    <row r="42" spans="1:81">
      <c r="A42" s="33" t="s">
        <v>376</v>
      </c>
      <c r="B42" s="12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25"/>
      <c r="BZ42" s="101"/>
    </row>
    <row r="43" spans="1:81">
      <c r="A43" s="33"/>
      <c r="B43" s="576" t="s">
        <v>476</v>
      </c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25"/>
      <c r="BZ43" s="101"/>
    </row>
    <row r="44" spans="1:81" ht="13.5" thickBot="1">
      <c r="A44" s="94"/>
      <c r="B44" s="597" t="s">
        <v>375</v>
      </c>
      <c r="C44" s="16"/>
      <c r="D44" s="16"/>
      <c r="E44" s="16"/>
      <c r="F44" s="16"/>
      <c r="G44" s="16"/>
      <c r="H44" s="16"/>
      <c r="I44" s="581"/>
      <c r="J44" s="16"/>
      <c r="K44" s="16"/>
      <c r="L44" s="16"/>
      <c r="M44" s="16"/>
      <c r="N44" s="16"/>
      <c r="O44" s="16"/>
      <c r="P44" s="582"/>
      <c r="Q44" s="583"/>
      <c r="R44" s="16"/>
      <c r="S44" s="16"/>
      <c r="T44" s="16"/>
      <c r="U44" s="16"/>
      <c r="V44" s="16"/>
      <c r="W44" s="582"/>
      <c r="X44" s="583"/>
      <c r="Y44" s="16"/>
      <c r="Z44" s="16"/>
      <c r="AA44" s="16"/>
      <c r="AB44" s="16"/>
      <c r="AC44" s="16"/>
      <c r="AD44" s="582"/>
      <c r="AE44" s="583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584"/>
      <c r="BI44" s="16"/>
      <c r="BJ44" s="16"/>
      <c r="BK44" s="16"/>
      <c r="BL44" s="16"/>
      <c r="BM44" s="584"/>
      <c r="BN44" s="16"/>
      <c r="BO44" s="16"/>
      <c r="BP44" s="16"/>
      <c r="BQ44" s="16"/>
      <c r="BR44" s="16"/>
      <c r="BS44" s="584"/>
      <c r="BT44" s="583"/>
      <c r="BU44" s="16"/>
      <c r="BV44" s="16"/>
      <c r="BW44" s="16"/>
      <c r="BX44" s="16"/>
      <c r="BY44" s="16"/>
      <c r="BZ44" s="17"/>
    </row>
    <row r="45" spans="1:81">
      <c r="A45" s="21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3"/>
      <c r="Q45" s="248"/>
      <c r="R45" s="12"/>
      <c r="S45" s="12"/>
      <c r="T45" s="12"/>
      <c r="U45" s="12"/>
      <c r="V45" s="12"/>
      <c r="W45" s="13"/>
      <c r="X45" s="248"/>
      <c r="Y45" s="12"/>
      <c r="Z45" s="12"/>
      <c r="AA45" s="12"/>
      <c r="AB45" s="12"/>
      <c r="AC45" s="12"/>
      <c r="AD45" s="13"/>
      <c r="AE45" s="248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92"/>
    </row>
    <row r="46" spans="1:81">
      <c r="A46" s="21"/>
      <c r="B46" s="12"/>
      <c r="C46" s="12"/>
      <c r="D46" s="12"/>
      <c r="E46" s="12"/>
      <c r="F46" s="12"/>
      <c r="G46" s="12"/>
      <c r="H46" s="13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Z46" s="12"/>
    </row>
    <row r="47" spans="1:81">
      <c r="A47" s="21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758"/>
      <c r="X47" s="757"/>
      <c r="Y47" s="757"/>
      <c r="Z47" s="757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Z47" s="12"/>
    </row>
    <row r="48" spans="1:81">
      <c r="A48" s="21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3"/>
      <c r="X48" s="12"/>
      <c r="Y48" s="12"/>
      <c r="Z48" s="12"/>
      <c r="AA48" s="758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Z48" s="12"/>
    </row>
    <row r="49" spans="1:76">
      <c r="A49" s="21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</row>
    <row r="50" spans="1:76">
      <c r="A50" s="21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</row>
    <row r="51" spans="1:76">
      <c r="A51" s="21"/>
    </row>
    <row r="52" spans="1:76">
      <c r="A52" s="21"/>
    </row>
    <row r="53" spans="1:76">
      <c r="A53" s="21"/>
    </row>
    <row r="54" spans="1:76">
      <c r="A54" s="21"/>
    </row>
    <row r="55" spans="1:76">
      <c r="A55" s="21"/>
    </row>
    <row r="56" spans="1:76">
      <c r="A56" s="21"/>
    </row>
    <row r="57" spans="1:76">
      <c r="A57" s="21"/>
    </row>
    <row r="58" spans="1:76">
      <c r="A58" s="21"/>
    </row>
    <row r="59" spans="1:76">
      <c r="A59" s="21"/>
    </row>
    <row r="60" spans="1:76">
      <c r="A60" s="21"/>
    </row>
    <row r="61" spans="1:76">
      <c r="A61" s="21"/>
    </row>
    <row r="62" spans="1:76">
      <c r="A62" s="21"/>
    </row>
    <row r="63" spans="1:76">
      <c r="A63" s="21"/>
    </row>
    <row r="64" spans="1:76">
      <c r="A64" s="21"/>
    </row>
    <row r="65" spans="1:1">
      <c r="A65" s="21"/>
    </row>
    <row r="66" spans="1:1">
      <c r="A66" s="21"/>
    </row>
    <row r="67" spans="1:1">
      <c r="A67" s="21"/>
    </row>
    <row r="68" spans="1:1">
      <c r="A68" s="21"/>
    </row>
    <row r="69" spans="1:1">
      <c r="A69" s="21"/>
    </row>
    <row r="70" spans="1:1">
      <c r="A70" s="21"/>
    </row>
    <row r="71" spans="1:1">
      <c r="A71" s="21"/>
    </row>
    <row r="72" spans="1:1">
      <c r="A72" s="21"/>
    </row>
    <row r="73" spans="1:1">
      <c r="A73" s="21"/>
    </row>
    <row r="74" spans="1:1">
      <c r="A74" s="21"/>
    </row>
    <row r="75" spans="1:1">
      <c r="A75" s="21"/>
    </row>
    <row r="76" spans="1:1">
      <c r="A76" s="21"/>
    </row>
    <row r="77" spans="1:1">
      <c r="A77" s="21"/>
    </row>
    <row r="78" spans="1:1">
      <c r="A78" s="21"/>
    </row>
    <row r="79" spans="1:1">
      <c r="A79" s="21"/>
    </row>
    <row r="80" spans="1:1">
      <c r="A80" s="21"/>
    </row>
    <row r="81" spans="1:1">
      <c r="A81" s="21"/>
    </row>
    <row r="82" spans="1:1">
      <c r="A82" s="21"/>
    </row>
    <row r="83" spans="1:1">
      <c r="A83" s="21"/>
    </row>
    <row r="84" spans="1:1">
      <c r="A84" s="21"/>
    </row>
    <row r="85" spans="1:1">
      <c r="A85" s="21"/>
    </row>
    <row r="86" spans="1:1">
      <c r="A86" s="21"/>
    </row>
    <row r="87" spans="1:1">
      <c r="A87" s="21"/>
    </row>
    <row r="88" spans="1:1">
      <c r="A88" s="21"/>
    </row>
    <row r="89" spans="1:1">
      <c r="A89" s="21"/>
    </row>
    <row r="90" spans="1:1">
      <c r="A90" s="21"/>
    </row>
    <row r="91" spans="1:1">
      <c r="A91" s="21"/>
    </row>
    <row r="92" spans="1:1">
      <c r="A92" s="21"/>
    </row>
    <row r="93" spans="1:1">
      <c r="A93" s="21"/>
    </row>
    <row r="94" spans="1:1">
      <c r="A94" s="21"/>
    </row>
    <row r="95" spans="1:1">
      <c r="A95" s="21"/>
    </row>
    <row r="96" spans="1:1">
      <c r="A96" s="21"/>
    </row>
    <row r="97" spans="1:1">
      <c r="A97" s="21"/>
    </row>
    <row r="98" spans="1:1">
      <c r="A98" s="21"/>
    </row>
    <row r="99" spans="1:1">
      <c r="A99" s="21"/>
    </row>
    <row r="100" spans="1:1">
      <c r="A100" s="21"/>
    </row>
    <row r="101" spans="1:1">
      <c r="A101" s="21"/>
    </row>
    <row r="102" spans="1:1">
      <c r="A102" s="21"/>
    </row>
    <row r="103" spans="1:1">
      <c r="A103" s="21"/>
    </row>
    <row r="104" spans="1:1">
      <c r="A104" s="21"/>
    </row>
    <row r="105" spans="1:1">
      <c r="A105" s="21"/>
    </row>
    <row r="106" spans="1:1">
      <c r="A106" s="21"/>
    </row>
    <row r="107" spans="1:1">
      <c r="A107" s="21"/>
    </row>
    <row r="108" spans="1:1">
      <c r="A108" s="21"/>
    </row>
    <row r="109" spans="1:1">
      <c r="A109" s="21"/>
    </row>
    <row r="110" spans="1:1">
      <c r="A110" s="21"/>
    </row>
    <row r="111" spans="1:1">
      <c r="A111" s="21"/>
    </row>
    <row r="112" spans="1:1">
      <c r="A112" s="21"/>
    </row>
    <row r="113" spans="1:1">
      <c r="A113" s="21"/>
    </row>
    <row r="114" spans="1:1">
      <c r="A114" s="21"/>
    </row>
    <row r="115" spans="1:1">
      <c r="A115" s="21"/>
    </row>
    <row r="116" spans="1:1">
      <c r="A116" s="21"/>
    </row>
    <row r="117" spans="1:1">
      <c r="A117" s="21"/>
    </row>
    <row r="118" spans="1:1">
      <c r="A118" s="21"/>
    </row>
    <row r="119" spans="1:1">
      <c r="A119" s="21"/>
    </row>
    <row r="120" spans="1:1">
      <c r="A120" s="21"/>
    </row>
    <row r="121" spans="1:1">
      <c r="A121" s="21"/>
    </row>
    <row r="122" spans="1:1">
      <c r="A122" s="21"/>
    </row>
    <row r="123" spans="1:1">
      <c r="A123" s="21"/>
    </row>
    <row r="124" spans="1:1">
      <c r="A124" s="21"/>
    </row>
    <row r="125" spans="1:1">
      <c r="A125" s="21"/>
    </row>
    <row r="126" spans="1:1">
      <c r="A126" s="21"/>
    </row>
    <row r="127" spans="1:1">
      <c r="A127" s="21"/>
    </row>
    <row r="128" spans="1:1">
      <c r="A128" s="21"/>
    </row>
    <row r="129" spans="1:1">
      <c r="A129" s="21"/>
    </row>
    <row r="130" spans="1:1">
      <c r="A130" s="21"/>
    </row>
    <row r="131" spans="1:1">
      <c r="A131" s="21"/>
    </row>
    <row r="132" spans="1:1">
      <c r="A132" s="21"/>
    </row>
    <row r="133" spans="1:1">
      <c r="A133" s="21"/>
    </row>
    <row r="134" spans="1:1">
      <c r="A134" s="21"/>
    </row>
    <row r="135" spans="1:1">
      <c r="A135" s="21"/>
    </row>
    <row r="136" spans="1:1">
      <c r="A136" s="21"/>
    </row>
    <row r="137" spans="1:1">
      <c r="A137" s="21"/>
    </row>
    <row r="138" spans="1:1">
      <c r="A138" s="21"/>
    </row>
    <row r="139" spans="1:1">
      <c r="A139" s="21"/>
    </row>
    <row r="140" spans="1:1">
      <c r="A140" s="21"/>
    </row>
    <row r="141" spans="1:1">
      <c r="A141" s="21"/>
    </row>
    <row r="142" spans="1:1">
      <c r="A142" s="21"/>
    </row>
    <row r="143" spans="1:1">
      <c r="A143" s="21"/>
    </row>
    <row r="144" spans="1:1">
      <c r="A144" s="21"/>
    </row>
    <row r="145" spans="1:1">
      <c r="A145" s="21"/>
    </row>
    <row r="146" spans="1:1">
      <c r="A146" s="21"/>
    </row>
    <row r="147" spans="1:1">
      <c r="A147" s="21"/>
    </row>
    <row r="148" spans="1:1">
      <c r="A148" s="21"/>
    </row>
    <row r="149" spans="1:1">
      <c r="A149" s="21"/>
    </row>
    <row r="150" spans="1:1">
      <c r="A150" s="21"/>
    </row>
    <row r="151" spans="1:1">
      <c r="A151" s="21"/>
    </row>
    <row r="152" spans="1:1">
      <c r="A152" s="21"/>
    </row>
    <row r="153" spans="1:1">
      <c r="A153" s="21"/>
    </row>
    <row r="154" spans="1:1">
      <c r="A154" s="21"/>
    </row>
    <row r="155" spans="1:1">
      <c r="A155" s="21"/>
    </row>
    <row r="156" spans="1:1">
      <c r="A156" s="21"/>
    </row>
    <row r="157" spans="1:1">
      <c r="A157" s="21"/>
    </row>
    <row r="158" spans="1:1">
      <c r="A158" s="21"/>
    </row>
    <row r="159" spans="1:1">
      <c r="A159" s="21"/>
    </row>
    <row r="160" spans="1:1">
      <c r="A160" s="21"/>
    </row>
    <row r="161" spans="1:1">
      <c r="A161" s="21"/>
    </row>
    <row r="162" spans="1:1">
      <c r="A162" s="21"/>
    </row>
    <row r="163" spans="1:1">
      <c r="A163" s="21"/>
    </row>
    <row r="164" spans="1:1">
      <c r="A164" s="21"/>
    </row>
    <row r="165" spans="1:1">
      <c r="A165" s="21"/>
    </row>
    <row r="166" spans="1:1">
      <c r="A166" s="21"/>
    </row>
    <row r="167" spans="1:1">
      <c r="A167" s="21"/>
    </row>
    <row r="168" spans="1:1">
      <c r="A168" s="21"/>
    </row>
    <row r="169" spans="1:1">
      <c r="A169" s="21"/>
    </row>
    <row r="170" spans="1:1">
      <c r="A170" s="21"/>
    </row>
    <row r="171" spans="1:1">
      <c r="A171" s="21"/>
    </row>
    <row r="172" spans="1:1">
      <c r="A172" s="21"/>
    </row>
    <row r="173" spans="1:1">
      <c r="A173" s="21"/>
    </row>
    <row r="174" spans="1:1">
      <c r="A174" s="21"/>
    </row>
    <row r="175" spans="1:1">
      <c r="A175" s="21"/>
    </row>
    <row r="176" spans="1:1">
      <c r="A176" s="21"/>
    </row>
    <row r="177" spans="1:1">
      <c r="A177" s="21"/>
    </row>
    <row r="178" spans="1:1">
      <c r="A178" s="21"/>
    </row>
    <row r="179" spans="1:1">
      <c r="A179" s="21"/>
    </row>
    <row r="180" spans="1:1">
      <c r="A180" s="21"/>
    </row>
    <row r="181" spans="1:1">
      <c r="A181" s="21"/>
    </row>
    <row r="182" spans="1:1">
      <c r="A182" s="21"/>
    </row>
    <row r="183" spans="1:1">
      <c r="A183" s="21"/>
    </row>
    <row r="184" spans="1:1">
      <c r="A184" s="21"/>
    </row>
    <row r="185" spans="1:1">
      <c r="A185" s="21"/>
    </row>
    <row r="186" spans="1:1">
      <c r="A186" s="21"/>
    </row>
    <row r="187" spans="1:1">
      <c r="A187" s="21"/>
    </row>
    <row r="188" spans="1:1">
      <c r="A188" s="21"/>
    </row>
    <row r="189" spans="1:1">
      <c r="A189" s="21"/>
    </row>
    <row r="190" spans="1:1">
      <c r="A190" s="21"/>
    </row>
    <row r="191" spans="1:1">
      <c r="A191" s="21"/>
    </row>
    <row r="192" spans="1:1">
      <c r="A192" s="21"/>
    </row>
    <row r="193" spans="1:1">
      <c r="A193" s="21"/>
    </row>
    <row r="194" spans="1:1">
      <c r="A194" s="21"/>
    </row>
    <row r="195" spans="1:1">
      <c r="A195" s="21"/>
    </row>
    <row r="196" spans="1:1">
      <c r="A196" s="21"/>
    </row>
    <row r="197" spans="1:1">
      <c r="A197" s="21"/>
    </row>
    <row r="198" spans="1:1">
      <c r="A198" s="21"/>
    </row>
    <row r="199" spans="1:1">
      <c r="A199" s="21"/>
    </row>
    <row r="200" spans="1:1">
      <c r="A200" s="21"/>
    </row>
    <row r="201" spans="1:1">
      <c r="A201" s="21"/>
    </row>
    <row r="202" spans="1:1">
      <c r="A202" s="21"/>
    </row>
    <row r="203" spans="1:1">
      <c r="A203" s="21"/>
    </row>
    <row r="204" spans="1:1">
      <c r="A204" s="21"/>
    </row>
    <row r="205" spans="1:1">
      <c r="A205" s="21"/>
    </row>
    <row r="206" spans="1:1">
      <c r="A206" s="21"/>
    </row>
    <row r="207" spans="1:1">
      <c r="A207" s="21"/>
    </row>
    <row r="208" spans="1:1">
      <c r="A208" s="21"/>
    </row>
    <row r="209" spans="1:1">
      <c r="A209" s="21"/>
    </row>
    <row r="210" spans="1:1">
      <c r="A210" s="21"/>
    </row>
    <row r="211" spans="1:1">
      <c r="A211" s="21"/>
    </row>
    <row r="212" spans="1:1">
      <c r="A212" s="21"/>
    </row>
    <row r="213" spans="1:1">
      <c r="A213" s="21"/>
    </row>
    <row r="214" spans="1:1">
      <c r="A214" s="21"/>
    </row>
    <row r="215" spans="1:1">
      <c r="A215" s="21"/>
    </row>
    <row r="216" spans="1:1">
      <c r="A216" s="21"/>
    </row>
    <row r="217" spans="1:1">
      <c r="A217" s="21"/>
    </row>
    <row r="218" spans="1:1">
      <c r="A218" s="21"/>
    </row>
    <row r="219" spans="1:1">
      <c r="A219" s="21"/>
    </row>
    <row r="220" spans="1:1">
      <c r="A220" s="21"/>
    </row>
    <row r="221" spans="1:1">
      <c r="A221" s="21"/>
    </row>
    <row r="222" spans="1:1">
      <c r="A222" s="21"/>
    </row>
    <row r="223" spans="1:1">
      <c r="A223" s="21"/>
    </row>
    <row r="224" spans="1:1">
      <c r="A224" s="21"/>
    </row>
    <row r="225" spans="1:1">
      <c r="A225" s="21"/>
    </row>
    <row r="226" spans="1:1">
      <c r="A226" s="21"/>
    </row>
    <row r="227" spans="1:1">
      <c r="A227" s="21"/>
    </row>
    <row r="228" spans="1:1">
      <c r="A228" s="21"/>
    </row>
    <row r="229" spans="1:1">
      <c r="A229" s="21"/>
    </row>
    <row r="230" spans="1:1">
      <c r="A230" s="21"/>
    </row>
    <row r="231" spans="1:1">
      <c r="A231" s="21"/>
    </row>
    <row r="232" spans="1:1">
      <c r="A232" s="21"/>
    </row>
    <row r="233" spans="1:1">
      <c r="A233" s="21"/>
    </row>
    <row r="234" spans="1:1">
      <c r="A234" s="21"/>
    </row>
    <row r="235" spans="1:1">
      <c r="A235" s="21"/>
    </row>
    <row r="236" spans="1:1">
      <c r="A236" s="21"/>
    </row>
    <row r="237" spans="1:1">
      <c r="A237" s="21"/>
    </row>
    <row r="238" spans="1:1">
      <c r="A238" s="21"/>
    </row>
    <row r="239" spans="1:1">
      <c r="A239" s="21"/>
    </row>
    <row r="240" spans="1:1">
      <c r="A240" s="21"/>
    </row>
    <row r="241" spans="1:1">
      <c r="A241" s="21"/>
    </row>
    <row r="242" spans="1:1">
      <c r="A242" s="21"/>
    </row>
    <row r="243" spans="1:1">
      <c r="A243" s="21"/>
    </row>
    <row r="244" spans="1:1">
      <c r="A244" s="21"/>
    </row>
    <row r="245" spans="1:1">
      <c r="A245" s="21"/>
    </row>
    <row r="246" spans="1:1">
      <c r="A246" s="21"/>
    </row>
    <row r="247" spans="1:1">
      <c r="A247" s="21"/>
    </row>
    <row r="248" spans="1:1">
      <c r="A248" s="21"/>
    </row>
    <row r="249" spans="1:1">
      <c r="A249" s="21"/>
    </row>
    <row r="250" spans="1:1">
      <c r="A250" s="21"/>
    </row>
    <row r="251" spans="1:1">
      <c r="A251" s="21"/>
    </row>
    <row r="252" spans="1:1">
      <c r="A252" s="21"/>
    </row>
    <row r="253" spans="1:1">
      <c r="A253" s="21"/>
    </row>
    <row r="254" spans="1:1">
      <c r="A254" s="21"/>
    </row>
    <row r="255" spans="1:1">
      <c r="A255" s="21"/>
    </row>
    <row r="256" spans="1:1">
      <c r="A256" s="21"/>
    </row>
    <row r="257" spans="1:1">
      <c r="A257" s="21"/>
    </row>
    <row r="258" spans="1:1">
      <c r="A258" s="21"/>
    </row>
    <row r="259" spans="1:1">
      <c r="A259" s="21"/>
    </row>
    <row r="260" spans="1:1">
      <c r="A260" s="21"/>
    </row>
    <row r="261" spans="1:1">
      <c r="A261" s="21"/>
    </row>
    <row r="262" spans="1:1">
      <c r="A262" s="21"/>
    </row>
    <row r="263" spans="1:1">
      <c r="A263" s="21"/>
    </row>
    <row r="264" spans="1:1">
      <c r="A264" s="21"/>
    </row>
    <row r="265" spans="1:1">
      <c r="A265" s="21"/>
    </row>
    <row r="266" spans="1:1">
      <c r="A266" s="21"/>
    </row>
    <row r="267" spans="1:1">
      <c r="A267" s="21"/>
    </row>
    <row r="268" spans="1:1">
      <c r="A268" s="21"/>
    </row>
    <row r="269" spans="1:1">
      <c r="A269" s="21"/>
    </row>
    <row r="270" spans="1:1">
      <c r="A270" s="21"/>
    </row>
    <row r="271" spans="1:1">
      <c r="A271" s="21"/>
    </row>
    <row r="272" spans="1:1">
      <c r="A272" s="21"/>
    </row>
    <row r="273" spans="1:1">
      <c r="A273" s="21"/>
    </row>
    <row r="274" spans="1:1">
      <c r="A274" s="21"/>
    </row>
    <row r="275" spans="1:1">
      <c r="A275" s="21"/>
    </row>
    <row r="276" spans="1:1">
      <c r="A276" s="21"/>
    </row>
    <row r="277" spans="1:1">
      <c r="A277" s="21"/>
    </row>
    <row r="278" spans="1:1">
      <c r="A278" s="21"/>
    </row>
    <row r="279" spans="1:1">
      <c r="A279" s="21"/>
    </row>
    <row r="280" spans="1:1">
      <c r="A280" s="21"/>
    </row>
    <row r="281" spans="1:1">
      <c r="A281" s="21"/>
    </row>
    <row r="282" spans="1:1">
      <c r="A282" s="21"/>
    </row>
    <row r="283" spans="1:1">
      <c r="A283" s="21"/>
    </row>
    <row r="284" spans="1:1">
      <c r="A284" s="21"/>
    </row>
    <row r="285" spans="1:1">
      <c r="A285" s="21"/>
    </row>
    <row r="286" spans="1:1">
      <c r="A286" s="21"/>
    </row>
    <row r="287" spans="1:1">
      <c r="A287" s="21"/>
    </row>
    <row r="288" spans="1:1">
      <c r="A288" s="21"/>
    </row>
    <row r="289" spans="1:1">
      <c r="A289" s="21"/>
    </row>
    <row r="290" spans="1:1">
      <c r="A290" s="21"/>
    </row>
    <row r="291" spans="1:1">
      <c r="A291" s="21"/>
    </row>
    <row r="292" spans="1:1">
      <c r="A292" s="21"/>
    </row>
    <row r="293" spans="1:1">
      <c r="A293" s="21"/>
    </row>
    <row r="294" spans="1:1">
      <c r="A294" s="21"/>
    </row>
    <row r="295" spans="1:1">
      <c r="A295" s="21"/>
    </row>
    <row r="296" spans="1:1">
      <c r="A296" s="21"/>
    </row>
    <row r="297" spans="1:1">
      <c r="A297" s="21"/>
    </row>
    <row r="298" spans="1:1">
      <c r="A298" s="21"/>
    </row>
    <row r="299" spans="1:1">
      <c r="A299" s="21"/>
    </row>
    <row r="300" spans="1:1">
      <c r="A300" s="21"/>
    </row>
    <row r="301" spans="1:1">
      <c r="A301" s="21"/>
    </row>
    <row r="302" spans="1:1">
      <c r="A302" s="21"/>
    </row>
    <row r="303" spans="1:1">
      <c r="A303" s="21"/>
    </row>
    <row r="304" spans="1:1">
      <c r="A304" s="21"/>
    </row>
    <row r="305" spans="1:1">
      <c r="A305" s="21"/>
    </row>
    <row r="306" spans="1:1">
      <c r="A306" s="21"/>
    </row>
    <row r="307" spans="1:1">
      <c r="A307" s="21"/>
    </row>
    <row r="308" spans="1:1">
      <c r="A308" s="21"/>
    </row>
    <row r="309" spans="1:1">
      <c r="A309" s="21"/>
    </row>
    <row r="310" spans="1:1">
      <c r="A310" s="21"/>
    </row>
    <row r="311" spans="1:1">
      <c r="A311" s="21"/>
    </row>
    <row r="312" spans="1:1">
      <c r="A312" s="21"/>
    </row>
    <row r="313" spans="1:1">
      <c r="A313" s="21"/>
    </row>
    <row r="314" spans="1:1">
      <c r="A314" s="21"/>
    </row>
    <row r="315" spans="1:1">
      <c r="A315" s="21"/>
    </row>
    <row r="316" spans="1:1">
      <c r="A316" s="21"/>
    </row>
    <row r="317" spans="1:1">
      <c r="A317" s="21"/>
    </row>
    <row r="318" spans="1:1">
      <c r="A318" s="21"/>
    </row>
    <row r="319" spans="1:1">
      <c r="A319" s="21"/>
    </row>
    <row r="320" spans="1:1">
      <c r="A320" s="21"/>
    </row>
    <row r="321" spans="1:1">
      <c r="A321" s="21"/>
    </row>
    <row r="322" spans="1:1">
      <c r="A322" s="21"/>
    </row>
    <row r="323" spans="1:1">
      <c r="A323" s="21"/>
    </row>
    <row r="324" spans="1:1">
      <c r="A324" s="21"/>
    </row>
    <row r="325" spans="1:1">
      <c r="A325" s="21"/>
    </row>
    <row r="326" spans="1:1">
      <c r="A326" s="21"/>
    </row>
    <row r="327" spans="1:1">
      <c r="A327" s="21"/>
    </row>
    <row r="328" spans="1:1">
      <c r="A328" s="21"/>
    </row>
    <row r="329" spans="1:1">
      <c r="A329" s="21"/>
    </row>
    <row r="330" spans="1:1">
      <c r="A330" s="21"/>
    </row>
    <row r="331" spans="1:1">
      <c r="A331" s="21"/>
    </row>
    <row r="332" spans="1:1">
      <c r="A332" s="21"/>
    </row>
    <row r="333" spans="1:1">
      <c r="A333" s="21"/>
    </row>
    <row r="334" spans="1:1">
      <c r="A334" s="21"/>
    </row>
    <row r="335" spans="1:1">
      <c r="A335" s="21"/>
    </row>
    <row r="336" spans="1:1">
      <c r="A336" s="21"/>
    </row>
    <row r="337" spans="1:1">
      <c r="A337" s="21"/>
    </row>
    <row r="338" spans="1:1">
      <c r="A338" s="21"/>
    </row>
    <row r="339" spans="1:1">
      <c r="A339" s="21"/>
    </row>
    <row r="340" spans="1:1">
      <c r="A340" s="21"/>
    </row>
    <row r="341" spans="1:1">
      <c r="A341" s="21"/>
    </row>
    <row r="342" spans="1:1">
      <c r="A342" s="21"/>
    </row>
    <row r="343" spans="1:1">
      <c r="A343" s="21"/>
    </row>
    <row r="344" spans="1:1">
      <c r="A344" s="21"/>
    </row>
    <row r="345" spans="1:1">
      <c r="A345" s="21"/>
    </row>
    <row r="346" spans="1:1">
      <c r="A346" s="21"/>
    </row>
    <row r="347" spans="1:1">
      <c r="A347" s="21"/>
    </row>
    <row r="348" spans="1:1">
      <c r="A348" s="21"/>
    </row>
    <row r="349" spans="1:1">
      <c r="A349" s="21"/>
    </row>
    <row r="350" spans="1:1">
      <c r="A350" s="21"/>
    </row>
    <row r="351" spans="1:1">
      <c r="A351" s="21"/>
    </row>
    <row r="352" spans="1:1">
      <c r="A352" s="21"/>
    </row>
    <row r="353" spans="1:1">
      <c r="A353" s="21"/>
    </row>
    <row r="354" spans="1:1">
      <c r="A354" s="21"/>
    </row>
    <row r="355" spans="1:1">
      <c r="A355" s="21"/>
    </row>
    <row r="356" spans="1:1">
      <c r="A356" s="21"/>
    </row>
    <row r="357" spans="1:1">
      <c r="A357" s="21"/>
    </row>
    <row r="358" spans="1:1">
      <c r="A358" s="21"/>
    </row>
    <row r="359" spans="1:1">
      <c r="A359" s="21"/>
    </row>
    <row r="360" spans="1:1">
      <c r="A360" s="21"/>
    </row>
    <row r="361" spans="1:1">
      <c r="A361" s="21"/>
    </row>
    <row r="362" spans="1:1">
      <c r="A362" s="21"/>
    </row>
    <row r="363" spans="1:1">
      <c r="A363" s="21"/>
    </row>
    <row r="364" spans="1:1">
      <c r="A364" s="21"/>
    </row>
    <row r="365" spans="1:1">
      <c r="A365" s="21"/>
    </row>
    <row r="366" spans="1:1">
      <c r="A366" s="21"/>
    </row>
    <row r="367" spans="1:1">
      <c r="A367" s="21"/>
    </row>
    <row r="368" spans="1:1">
      <c r="A368" s="21"/>
    </row>
    <row r="369" spans="1:1">
      <c r="A369" s="21"/>
    </row>
    <row r="370" spans="1:1">
      <c r="A370" s="21"/>
    </row>
    <row r="371" spans="1:1">
      <c r="A371" s="21"/>
    </row>
    <row r="372" spans="1:1">
      <c r="A372" s="21"/>
    </row>
    <row r="373" spans="1:1">
      <c r="A373" s="21"/>
    </row>
    <row r="374" spans="1:1">
      <c r="A374" s="21"/>
    </row>
    <row r="375" spans="1:1">
      <c r="A375" s="21"/>
    </row>
    <row r="376" spans="1:1">
      <c r="A376" s="21"/>
    </row>
    <row r="377" spans="1:1">
      <c r="A377" s="21"/>
    </row>
    <row r="378" spans="1:1">
      <c r="A378" s="21"/>
    </row>
    <row r="379" spans="1:1">
      <c r="A379" s="21"/>
    </row>
    <row r="380" spans="1:1">
      <c r="A380" s="21"/>
    </row>
    <row r="381" spans="1:1">
      <c r="A381" s="21"/>
    </row>
    <row r="382" spans="1:1">
      <c r="A382" s="21"/>
    </row>
    <row r="383" spans="1:1">
      <c r="A383" s="21"/>
    </row>
    <row r="384" spans="1:1">
      <c r="A384" s="21"/>
    </row>
    <row r="385" spans="1:1">
      <c r="A385" s="21"/>
    </row>
    <row r="386" spans="1:1">
      <c r="A386" s="21"/>
    </row>
    <row r="387" spans="1:1">
      <c r="A387" s="21"/>
    </row>
    <row r="388" spans="1:1">
      <c r="A388" s="21"/>
    </row>
    <row r="389" spans="1:1">
      <c r="A389" s="21"/>
    </row>
    <row r="390" spans="1:1">
      <c r="A390" s="21"/>
    </row>
    <row r="391" spans="1:1">
      <c r="A391" s="21"/>
    </row>
    <row r="392" spans="1:1">
      <c r="A392" s="21"/>
    </row>
    <row r="393" spans="1:1">
      <c r="A393" s="21"/>
    </row>
    <row r="394" spans="1:1">
      <c r="A394" s="21"/>
    </row>
    <row r="395" spans="1:1">
      <c r="A395" s="21"/>
    </row>
    <row r="396" spans="1:1">
      <c r="A396" s="21"/>
    </row>
    <row r="397" spans="1:1">
      <c r="A397" s="21"/>
    </row>
    <row r="398" spans="1:1">
      <c r="A398" s="21"/>
    </row>
    <row r="399" spans="1:1">
      <c r="A399" s="21"/>
    </row>
    <row r="400" spans="1:1">
      <c r="A400" s="21"/>
    </row>
    <row r="401" spans="1:1">
      <c r="A401" s="21"/>
    </row>
    <row r="402" spans="1:1">
      <c r="A402" s="21"/>
    </row>
    <row r="403" spans="1:1">
      <c r="A403" s="21"/>
    </row>
    <row r="404" spans="1:1">
      <c r="A404" s="21"/>
    </row>
    <row r="405" spans="1:1">
      <c r="A405" s="21"/>
    </row>
    <row r="406" spans="1:1">
      <c r="A406" s="21"/>
    </row>
    <row r="407" spans="1:1">
      <c r="A407" s="21"/>
    </row>
    <row r="408" spans="1:1">
      <c r="A408" s="21"/>
    </row>
    <row r="409" spans="1:1">
      <c r="A409" s="21"/>
    </row>
    <row r="410" spans="1:1">
      <c r="A410" s="21"/>
    </row>
    <row r="411" spans="1:1">
      <c r="A411" s="21"/>
    </row>
    <row r="412" spans="1:1">
      <c r="A412" s="21"/>
    </row>
    <row r="413" spans="1:1">
      <c r="A413" s="21"/>
    </row>
    <row r="414" spans="1:1">
      <c r="A414" s="21"/>
    </row>
    <row r="415" spans="1:1">
      <c r="A415" s="21"/>
    </row>
    <row r="416" spans="1:1">
      <c r="A416" s="21"/>
    </row>
    <row r="417" spans="1:1">
      <c r="A417" s="21"/>
    </row>
    <row r="418" spans="1:1">
      <c r="A418" s="21"/>
    </row>
    <row r="419" spans="1:1">
      <c r="A419" s="21"/>
    </row>
    <row r="420" spans="1:1">
      <c r="A420" s="21"/>
    </row>
    <row r="421" spans="1:1">
      <c r="A421" s="21"/>
    </row>
    <row r="422" spans="1:1">
      <c r="A422" s="21"/>
    </row>
    <row r="423" spans="1:1">
      <c r="A423" s="21"/>
    </row>
    <row r="424" spans="1:1">
      <c r="A424" s="21"/>
    </row>
    <row r="425" spans="1:1">
      <c r="A425" s="21"/>
    </row>
    <row r="426" spans="1:1">
      <c r="A426" s="21"/>
    </row>
    <row r="427" spans="1:1">
      <c r="A427" s="21"/>
    </row>
    <row r="428" spans="1:1">
      <c r="A428" s="21"/>
    </row>
    <row r="429" spans="1:1">
      <c r="A429" s="21"/>
    </row>
    <row r="430" spans="1:1">
      <c r="A430" s="21"/>
    </row>
    <row r="431" spans="1:1">
      <c r="A431" s="21"/>
    </row>
    <row r="432" spans="1:1">
      <c r="A432" s="21"/>
    </row>
    <row r="433" spans="1:1">
      <c r="A433" s="21"/>
    </row>
    <row r="434" spans="1:1">
      <c r="A434" s="21"/>
    </row>
    <row r="435" spans="1:1">
      <c r="A435" s="21"/>
    </row>
    <row r="436" spans="1:1">
      <c r="A436" s="21"/>
    </row>
    <row r="437" spans="1:1">
      <c r="A437" s="21"/>
    </row>
    <row r="438" spans="1:1">
      <c r="A438" s="21"/>
    </row>
    <row r="439" spans="1:1">
      <c r="A439" s="21"/>
    </row>
    <row r="440" spans="1:1">
      <c r="A440" s="21"/>
    </row>
    <row r="441" spans="1:1">
      <c r="A441" s="21"/>
    </row>
    <row r="442" spans="1:1">
      <c r="A442" s="21"/>
    </row>
    <row r="443" spans="1:1">
      <c r="A443" s="21"/>
    </row>
    <row r="444" spans="1:1">
      <c r="A444" s="21"/>
    </row>
    <row r="445" spans="1:1">
      <c r="A445" s="21"/>
    </row>
    <row r="446" spans="1:1">
      <c r="A446" s="21"/>
    </row>
    <row r="447" spans="1:1">
      <c r="A447" s="21"/>
    </row>
    <row r="448" spans="1:1">
      <c r="A448" s="21"/>
    </row>
    <row r="449" spans="1:1">
      <c r="A449" s="21"/>
    </row>
    <row r="450" spans="1:1">
      <c r="A450" s="21"/>
    </row>
    <row r="451" spans="1:1">
      <c r="A451" s="21"/>
    </row>
    <row r="452" spans="1:1">
      <c r="A452" s="21"/>
    </row>
    <row r="453" spans="1:1">
      <c r="A453" s="21"/>
    </row>
    <row r="454" spans="1:1">
      <c r="A454" s="21"/>
    </row>
    <row r="455" spans="1:1">
      <c r="A455" s="21"/>
    </row>
    <row r="456" spans="1:1">
      <c r="A456" s="21"/>
    </row>
    <row r="457" spans="1:1">
      <c r="A457" s="21"/>
    </row>
    <row r="458" spans="1:1">
      <c r="A458" s="21"/>
    </row>
    <row r="459" spans="1:1">
      <c r="A459" s="21"/>
    </row>
    <row r="460" spans="1:1">
      <c r="A460" s="21"/>
    </row>
    <row r="461" spans="1:1">
      <c r="A461" s="21"/>
    </row>
    <row r="462" spans="1:1">
      <c r="A462" s="21"/>
    </row>
    <row r="463" spans="1:1">
      <c r="A463" s="21"/>
    </row>
    <row r="464" spans="1:1">
      <c r="A464" s="21"/>
    </row>
    <row r="465" spans="1:1">
      <c r="A465" s="21"/>
    </row>
    <row r="466" spans="1:1">
      <c r="A466" s="21"/>
    </row>
    <row r="467" spans="1:1">
      <c r="A467" s="21"/>
    </row>
    <row r="468" spans="1:1">
      <c r="A468" s="21"/>
    </row>
    <row r="469" spans="1:1">
      <c r="A469" s="21"/>
    </row>
    <row r="470" spans="1:1">
      <c r="A470" s="21"/>
    </row>
    <row r="471" spans="1:1">
      <c r="A471" s="21"/>
    </row>
    <row r="472" spans="1:1">
      <c r="A472" s="21"/>
    </row>
    <row r="473" spans="1:1">
      <c r="A473" s="21"/>
    </row>
    <row r="474" spans="1:1">
      <c r="A474" s="21"/>
    </row>
    <row r="475" spans="1:1">
      <c r="A475" s="21"/>
    </row>
    <row r="476" spans="1:1">
      <c r="A476" s="21"/>
    </row>
    <row r="477" spans="1:1">
      <c r="A477" s="21"/>
    </row>
    <row r="478" spans="1:1">
      <c r="A478" s="21"/>
    </row>
    <row r="479" spans="1:1">
      <c r="A479" s="21"/>
    </row>
    <row r="480" spans="1:1">
      <c r="A480" s="21"/>
    </row>
    <row r="481" spans="1:1">
      <c r="A481" s="21"/>
    </row>
    <row r="482" spans="1:1">
      <c r="A482" s="21"/>
    </row>
    <row r="483" spans="1:1">
      <c r="A483" s="21"/>
    </row>
    <row r="484" spans="1:1">
      <c r="A484" s="21"/>
    </row>
    <row r="485" spans="1:1">
      <c r="A485" s="21"/>
    </row>
    <row r="486" spans="1:1">
      <c r="A486" s="21"/>
    </row>
    <row r="487" spans="1:1">
      <c r="A487" s="21"/>
    </row>
    <row r="488" spans="1:1">
      <c r="A488" s="21"/>
    </row>
    <row r="489" spans="1:1">
      <c r="A489" s="21"/>
    </row>
    <row r="490" spans="1:1">
      <c r="A490" s="21"/>
    </row>
    <row r="491" spans="1:1">
      <c r="A491" s="21"/>
    </row>
    <row r="492" spans="1:1">
      <c r="A492" s="21"/>
    </row>
    <row r="493" spans="1:1">
      <c r="A493" s="21"/>
    </row>
    <row r="494" spans="1:1">
      <c r="A494" s="21"/>
    </row>
    <row r="495" spans="1:1">
      <c r="A495" s="21"/>
    </row>
    <row r="496" spans="1:1">
      <c r="A496" s="21"/>
    </row>
    <row r="497" spans="1:1">
      <c r="A497" s="21"/>
    </row>
    <row r="498" spans="1:1">
      <c r="A498" s="21"/>
    </row>
    <row r="499" spans="1:1">
      <c r="A499" s="21"/>
    </row>
    <row r="500" spans="1:1">
      <c r="A500" s="21"/>
    </row>
    <row r="501" spans="1:1">
      <c r="A501" s="21"/>
    </row>
    <row r="502" spans="1:1">
      <c r="A502" s="21"/>
    </row>
    <row r="503" spans="1:1">
      <c r="A503" s="21"/>
    </row>
    <row r="504" spans="1:1">
      <c r="A504" s="21"/>
    </row>
    <row r="505" spans="1:1">
      <c r="A505" s="21"/>
    </row>
    <row r="506" spans="1:1">
      <c r="A506" s="21"/>
    </row>
    <row r="507" spans="1:1">
      <c r="A507" s="21"/>
    </row>
    <row r="508" spans="1:1">
      <c r="A508" s="21"/>
    </row>
    <row r="509" spans="1:1">
      <c r="A509" s="21"/>
    </row>
    <row r="510" spans="1:1">
      <c r="A510" s="21"/>
    </row>
    <row r="511" spans="1:1">
      <c r="A511" s="21"/>
    </row>
    <row r="512" spans="1:1">
      <c r="A512" s="21"/>
    </row>
    <row r="513" spans="1:1">
      <c r="A513" s="21"/>
    </row>
    <row r="514" spans="1:1">
      <c r="A514" s="21"/>
    </row>
    <row r="515" spans="1:1">
      <c r="A515" s="21"/>
    </row>
    <row r="516" spans="1:1">
      <c r="A516" s="21"/>
    </row>
    <row r="517" spans="1:1">
      <c r="A517" s="21"/>
    </row>
    <row r="518" spans="1:1">
      <c r="A518" s="21"/>
    </row>
    <row r="519" spans="1:1">
      <c r="A519" s="21"/>
    </row>
    <row r="520" spans="1:1">
      <c r="A520" s="21"/>
    </row>
    <row r="521" spans="1:1">
      <c r="A521" s="21"/>
    </row>
    <row r="522" spans="1:1">
      <c r="A522" s="21"/>
    </row>
    <row r="523" spans="1:1">
      <c r="A523" s="21"/>
    </row>
    <row r="524" spans="1:1">
      <c r="A524" s="21"/>
    </row>
    <row r="525" spans="1:1">
      <c r="A525" s="21"/>
    </row>
    <row r="526" spans="1:1">
      <c r="A526" s="21"/>
    </row>
    <row r="527" spans="1:1">
      <c r="A527" s="21"/>
    </row>
    <row r="528" spans="1:1">
      <c r="A528" s="21"/>
    </row>
    <row r="529" spans="1:1">
      <c r="A529" s="21"/>
    </row>
    <row r="530" spans="1:1">
      <c r="A530" s="21"/>
    </row>
    <row r="531" spans="1:1">
      <c r="A531" s="21"/>
    </row>
    <row r="532" spans="1:1">
      <c r="A532" s="21"/>
    </row>
    <row r="533" spans="1:1">
      <c r="A533" s="21"/>
    </row>
    <row r="534" spans="1:1">
      <c r="A534" s="21"/>
    </row>
    <row r="535" spans="1:1">
      <c r="A535" s="21"/>
    </row>
    <row r="536" spans="1:1">
      <c r="A536" s="21"/>
    </row>
    <row r="537" spans="1:1">
      <c r="A537" s="21"/>
    </row>
    <row r="538" spans="1:1">
      <c r="A538" s="21"/>
    </row>
  </sheetData>
  <mergeCells count="23">
    <mergeCell ref="B3:F3"/>
    <mergeCell ref="I3:M3"/>
    <mergeCell ref="P3:T3"/>
    <mergeCell ref="W3:AA3"/>
    <mergeCell ref="BT3:BX3"/>
    <mergeCell ref="BM3:BQ3"/>
    <mergeCell ref="BF3:BJ3"/>
    <mergeCell ref="AY3:BC3"/>
    <mergeCell ref="AK3:AO3"/>
    <mergeCell ref="AD3:AH3"/>
    <mergeCell ref="AR3:AV3"/>
    <mergeCell ref="A1:BZ1"/>
    <mergeCell ref="BF2:BL2"/>
    <mergeCell ref="BM2:BS2"/>
    <mergeCell ref="W2:AC2"/>
    <mergeCell ref="AD2:AJ2"/>
    <mergeCell ref="BT2:BZ2"/>
    <mergeCell ref="B2:H2"/>
    <mergeCell ref="I2:O2"/>
    <mergeCell ref="P2:V2"/>
    <mergeCell ref="AK2:AQ2"/>
    <mergeCell ref="AY2:BE2"/>
    <mergeCell ref="AR2:AX2"/>
  </mergeCells>
  <phoneticPr fontId="0" type="noConversion"/>
  <printOptions horizontalCentered="1"/>
  <pageMargins left="0.75" right="0.75" top="1" bottom="1" header="0.5" footer="0.5"/>
  <pageSetup scale="55" orientation="portrait" r:id="rId1"/>
  <headerFooter alignWithMargins="0">
    <oddFooter>&amp;L&amp;F
&amp;A&amp;R&amp;P of &amp;N</oddFooter>
  </headerFooter>
  <colBreaks count="4" manualBreakCount="4">
    <brk id="15" max="41" man="1"/>
    <brk id="29" max="41" man="1"/>
    <brk id="50" max="41" man="1"/>
    <brk id="64" max="41" man="1"/>
  </col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sheetPr codeName="Sheet51">
    <tabColor rgb="FFFFC000"/>
    <pageSetUpPr fitToPage="1"/>
  </sheetPr>
  <dimension ref="A1:FV73"/>
  <sheetViews>
    <sheetView zoomScaleNormal="100" workbookViewId="0">
      <pane ySplit="3" topLeftCell="A15" activePane="bottomLeft" state="frozen"/>
      <selection activeCell="D15" sqref="D15"/>
      <selection pane="bottomLeft" activeCell="B24" sqref="B24"/>
    </sheetView>
  </sheetViews>
  <sheetFormatPr defaultRowHeight="12.75"/>
  <cols>
    <col min="1" max="1" width="50.7109375" customWidth="1"/>
    <col min="2" max="2" width="27.5703125" customWidth="1"/>
    <col min="3" max="4" width="27.7109375" customWidth="1"/>
    <col min="5" max="6" width="11.5703125" style="58" customWidth="1"/>
    <col min="7" max="178" width="9.140625" style="58"/>
  </cols>
  <sheetData>
    <row r="1" spans="1:4" ht="18.75" thickBot="1">
      <c r="A1" s="841" t="s">
        <v>188</v>
      </c>
      <c r="B1" s="841"/>
      <c r="C1" s="841"/>
      <c r="D1" s="841"/>
    </row>
    <row r="2" spans="1:4">
      <c r="A2" s="546"/>
      <c r="B2" s="131"/>
      <c r="C2" s="546"/>
      <c r="D2" s="131" t="s">
        <v>55</v>
      </c>
    </row>
    <row r="3" spans="1:4" ht="13.5" thickBot="1">
      <c r="A3" s="547" t="s">
        <v>4</v>
      </c>
      <c r="B3" s="102" t="s">
        <v>1</v>
      </c>
      <c r="C3" s="547" t="s">
        <v>99</v>
      </c>
      <c r="D3" s="102" t="s">
        <v>2</v>
      </c>
    </row>
    <row r="4" spans="1:4">
      <c r="A4" s="5"/>
      <c r="B4" s="5" t="s">
        <v>45</v>
      </c>
      <c r="C4" s="5" t="s">
        <v>45</v>
      </c>
      <c r="D4" s="133" t="s">
        <v>45</v>
      </c>
    </row>
    <row r="5" spans="1:4">
      <c r="A5" s="10"/>
      <c r="B5" s="112"/>
      <c r="C5" s="132"/>
      <c r="D5" s="134"/>
    </row>
    <row r="6" spans="1:4">
      <c r="A6" s="21" t="s">
        <v>5</v>
      </c>
      <c r="B6" s="606"/>
      <c r="C6" s="607"/>
      <c r="D6" s="179"/>
    </row>
    <row r="7" spans="1:4">
      <c r="A7" s="21" t="s">
        <v>6</v>
      </c>
      <c r="B7" s="606"/>
      <c r="C7" s="607"/>
      <c r="D7" s="179"/>
    </row>
    <row r="8" spans="1:4">
      <c r="A8" s="21" t="s">
        <v>7</v>
      </c>
      <c r="B8" s="606"/>
      <c r="C8" s="607"/>
      <c r="D8" s="179"/>
    </row>
    <row r="9" spans="1:4">
      <c r="A9" s="21" t="s">
        <v>124</v>
      </c>
      <c r="B9" s="606"/>
      <c r="C9" s="607"/>
      <c r="D9" s="179"/>
    </row>
    <row r="10" spans="1:4">
      <c r="A10" s="21" t="s">
        <v>116</v>
      </c>
      <c r="B10" s="606"/>
      <c r="C10" s="607"/>
      <c r="D10" s="179"/>
    </row>
    <row r="11" spans="1:4">
      <c r="A11" s="21" t="s">
        <v>8</v>
      </c>
      <c r="B11" s="606"/>
      <c r="C11" s="607"/>
      <c r="D11" s="179"/>
    </row>
    <row r="12" spans="1:4">
      <c r="A12" s="21" t="s">
        <v>9</v>
      </c>
      <c r="B12" s="606"/>
      <c r="C12" s="607"/>
      <c r="D12" s="179"/>
    </row>
    <row r="13" spans="1:4">
      <c r="A13" s="21" t="s">
        <v>10</v>
      </c>
      <c r="B13" s="606"/>
      <c r="C13" s="607"/>
      <c r="D13" s="179"/>
    </row>
    <row r="14" spans="1:4">
      <c r="A14" s="21" t="s">
        <v>11</v>
      </c>
      <c r="B14" s="606"/>
      <c r="C14" s="607"/>
      <c r="D14" s="179"/>
    </row>
    <row r="15" spans="1:4">
      <c r="A15" s="21" t="s">
        <v>120</v>
      </c>
      <c r="B15" s="606"/>
      <c r="C15" s="607"/>
      <c r="D15" s="179"/>
    </row>
    <row r="16" spans="1:4">
      <c r="A16" s="21" t="s">
        <v>121</v>
      </c>
      <c r="B16" s="606"/>
      <c r="C16" s="607"/>
      <c r="D16" s="179"/>
    </row>
    <row r="17" spans="1:178">
      <c r="A17" s="21" t="s">
        <v>12</v>
      </c>
      <c r="B17" s="606"/>
      <c r="C17" s="607"/>
      <c r="D17" s="179"/>
    </row>
    <row r="18" spans="1:178">
      <c r="A18" s="21" t="s">
        <v>13</v>
      </c>
      <c r="B18" s="606"/>
      <c r="C18" s="607"/>
      <c r="D18" s="179"/>
    </row>
    <row r="19" spans="1:178" s="181" customFormat="1">
      <c r="A19" s="21" t="s">
        <v>122</v>
      </c>
      <c r="B19" s="606"/>
      <c r="C19" s="607"/>
      <c r="D19" s="179"/>
      <c r="E19" s="246"/>
      <c r="F19" s="246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8"/>
      <c r="BA19" s="58"/>
      <c r="BB19" s="58"/>
      <c r="BC19" s="58"/>
      <c r="BD19" s="58"/>
      <c r="BE19" s="58"/>
      <c r="BF19" s="58"/>
      <c r="BG19" s="58"/>
      <c r="BH19" s="58"/>
      <c r="BI19" s="58"/>
      <c r="BJ19" s="58"/>
      <c r="BK19" s="58"/>
      <c r="BL19" s="58"/>
      <c r="BM19" s="58"/>
      <c r="BN19" s="58"/>
      <c r="BO19" s="58"/>
      <c r="BP19" s="58"/>
      <c r="BQ19" s="58"/>
      <c r="BR19" s="58"/>
      <c r="BS19" s="58"/>
      <c r="BT19" s="58"/>
      <c r="BU19" s="58"/>
      <c r="BV19" s="58"/>
      <c r="BW19" s="58"/>
      <c r="BX19" s="58"/>
      <c r="BY19" s="58"/>
      <c r="BZ19" s="58"/>
      <c r="CA19" s="58"/>
      <c r="CB19" s="58"/>
      <c r="CC19" s="58"/>
      <c r="CD19" s="58"/>
      <c r="CE19" s="58"/>
      <c r="CF19" s="58"/>
      <c r="CG19" s="58"/>
      <c r="CH19" s="58"/>
      <c r="CI19" s="58"/>
      <c r="CJ19" s="58"/>
      <c r="CK19" s="58"/>
      <c r="CL19" s="58"/>
      <c r="CM19" s="58"/>
      <c r="CN19" s="58"/>
      <c r="CO19" s="58"/>
      <c r="CP19" s="58"/>
      <c r="CQ19" s="58"/>
      <c r="CR19" s="58"/>
      <c r="CS19" s="58"/>
      <c r="CT19" s="58"/>
      <c r="CU19" s="58"/>
      <c r="CV19" s="58"/>
      <c r="CW19" s="58"/>
      <c r="CX19" s="58"/>
      <c r="CY19" s="58"/>
      <c r="CZ19" s="58"/>
      <c r="DA19" s="58"/>
      <c r="DB19" s="58"/>
      <c r="DC19" s="58"/>
      <c r="DD19" s="58"/>
      <c r="DE19" s="58"/>
      <c r="DF19" s="58"/>
      <c r="DG19" s="58"/>
      <c r="DH19" s="58"/>
      <c r="DI19" s="58"/>
      <c r="DJ19" s="58"/>
      <c r="DK19" s="58"/>
      <c r="DL19" s="58"/>
      <c r="DM19" s="58"/>
      <c r="DN19" s="58"/>
      <c r="DO19" s="58"/>
      <c r="DP19" s="58"/>
      <c r="DQ19" s="58"/>
      <c r="DR19" s="58"/>
      <c r="DS19" s="58"/>
      <c r="DT19" s="58"/>
      <c r="DU19" s="58"/>
      <c r="DV19" s="58"/>
      <c r="DW19" s="58"/>
      <c r="DX19" s="58"/>
      <c r="DY19" s="58"/>
      <c r="DZ19" s="58"/>
      <c r="EA19" s="58"/>
      <c r="EB19" s="58"/>
      <c r="EC19" s="58"/>
      <c r="ED19" s="58"/>
      <c r="EE19" s="58"/>
      <c r="EF19" s="58"/>
      <c r="EG19" s="58"/>
      <c r="EH19" s="58"/>
      <c r="EI19" s="58"/>
      <c r="EJ19" s="58"/>
      <c r="EK19" s="58"/>
      <c r="EL19" s="58"/>
      <c r="EM19" s="58"/>
      <c r="EN19" s="58"/>
      <c r="EO19" s="58"/>
      <c r="EP19" s="58"/>
      <c r="EQ19" s="58"/>
      <c r="ER19" s="58"/>
      <c r="ES19" s="58"/>
      <c r="ET19" s="58"/>
      <c r="EU19" s="58"/>
      <c r="EV19" s="58"/>
      <c r="EW19" s="58"/>
      <c r="EX19" s="58"/>
      <c r="EY19" s="58"/>
      <c r="EZ19" s="58"/>
      <c r="FA19" s="58"/>
      <c r="FB19" s="58"/>
      <c r="FC19" s="58"/>
      <c r="FD19" s="58"/>
      <c r="FE19" s="58"/>
      <c r="FF19" s="58"/>
      <c r="FG19" s="58"/>
      <c r="FH19" s="58"/>
      <c r="FI19" s="58"/>
      <c r="FJ19" s="58"/>
      <c r="FK19" s="58"/>
      <c r="FL19" s="58"/>
      <c r="FM19" s="58"/>
      <c r="FN19" s="58"/>
      <c r="FO19" s="58"/>
      <c r="FP19" s="58"/>
      <c r="FQ19" s="58"/>
      <c r="FR19" s="58"/>
      <c r="FS19" s="58"/>
      <c r="FT19" s="58"/>
      <c r="FU19" s="58"/>
      <c r="FV19" s="58"/>
    </row>
    <row r="20" spans="1:178" s="181" customFormat="1">
      <c r="A20" s="21" t="s">
        <v>123</v>
      </c>
      <c r="B20" s="606"/>
      <c r="C20" s="607"/>
      <c r="D20" s="179"/>
      <c r="E20" s="246"/>
      <c r="F20" s="246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8"/>
      <c r="AT20" s="58"/>
      <c r="AU20" s="58"/>
      <c r="AV20" s="58"/>
      <c r="AW20" s="58"/>
      <c r="AX20" s="58"/>
      <c r="AY20" s="58"/>
      <c r="AZ20" s="58"/>
      <c r="BA20" s="58"/>
      <c r="BB20" s="58"/>
      <c r="BC20" s="58"/>
      <c r="BD20" s="58"/>
      <c r="BE20" s="58"/>
      <c r="BF20" s="58"/>
      <c r="BG20" s="58"/>
      <c r="BH20" s="58"/>
      <c r="BI20" s="58"/>
      <c r="BJ20" s="58"/>
      <c r="BK20" s="58"/>
      <c r="BL20" s="58"/>
      <c r="BM20" s="58"/>
      <c r="BN20" s="58"/>
      <c r="BO20" s="58"/>
      <c r="BP20" s="58"/>
      <c r="BQ20" s="58"/>
      <c r="BR20" s="58"/>
      <c r="BS20" s="58"/>
      <c r="BT20" s="58"/>
      <c r="BU20" s="58"/>
      <c r="BV20" s="58"/>
      <c r="BW20" s="58"/>
      <c r="BX20" s="58"/>
      <c r="BY20" s="58"/>
      <c r="BZ20" s="58"/>
      <c r="CA20" s="58"/>
      <c r="CB20" s="58"/>
      <c r="CC20" s="58"/>
      <c r="CD20" s="58"/>
      <c r="CE20" s="58"/>
      <c r="CF20" s="58"/>
      <c r="CG20" s="58"/>
      <c r="CH20" s="58"/>
      <c r="CI20" s="58"/>
      <c r="CJ20" s="58"/>
      <c r="CK20" s="58"/>
      <c r="CL20" s="58"/>
      <c r="CM20" s="58"/>
      <c r="CN20" s="58"/>
      <c r="CO20" s="58"/>
      <c r="CP20" s="58"/>
      <c r="CQ20" s="58"/>
      <c r="CR20" s="58"/>
      <c r="CS20" s="58"/>
      <c r="CT20" s="58"/>
      <c r="CU20" s="58"/>
      <c r="CV20" s="58"/>
      <c r="CW20" s="58"/>
      <c r="CX20" s="58"/>
      <c r="CY20" s="58"/>
      <c r="CZ20" s="58"/>
      <c r="DA20" s="58"/>
      <c r="DB20" s="58"/>
      <c r="DC20" s="58"/>
      <c r="DD20" s="58"/>
      <c r="DE20" s="58"/>
      <c r="DF20" s="58"/>
      <c r="DG20" s="58"/>
      <c r="DH20" s="58"/>
      <c r="DI20" s="58"/>
      <c r="DJ20" s="58"/>
      <c r="DK20" s="58"/>
      <c r="DL20" s="58"/>
      <c r="DM20" s="58"/>
      <c r="DN20" s="58"/>
      <c r="DO20" s="58"/>
      <c r="DP20" s="58"/>
      <c r="DQ20" s="58"/>
      <c r="DR20" s="58"/>
      <c r="DS20" s="58"/>
      <c r="DT20" s="58"/>
      <c r="DU20" s="58"/>
      <c r="DV20" s="58"/>
      <c r="DW20" s="58"/>
      <c r="DX20" s="58"/>
      <c r="DY20" s="58"/>
      <c r="DZ20" s="58"/>
      <c r="EA20" s="58"/>
      <c r="EB20" s="58"/>
      <c r="EC20" s="58"/>
      <c r="ED20" s="58"/>
      <c r="EE20" s="58"/>
      <c r="EF20" s="58"/>
      <c r="EG20" s="58"/>
      <c r="EH20" s="58"/>
      <c r="EI20" s="58"/>
      <c r="EJ20" s="58"/>
      <c r="EK20" s="58"/>
      <c r="EL20" s="58"/>
      <c r="EM20" s="58"/>
      <c r="EN20" s="58"/>
      <c r="EO20" s="58"/>
      <c r="EP20" s="58"/>
      <c r="EQ20" s="58"/>
      <c r="ER20" s="58"/>
      <c r="ES20" s="58"/>
      <c r="ET20" s="58"/>
      <c r="EU20" s="58"/>
      <c r="EV20" s="58"/>
      <c r="EW20" s="58"/>
      <c r="EX20" s="58"/>
      <c r="EY20" s="58"/>
      <c r="EZ20" s="58"/>
      <c r="FA20" s="58"/>
      <c r="FB20" s="58"/>
      <c r="FC20" s="58"/>
      <c r="FD20" s="58"/>
      <c r="FE20" s="58"/>
      <c r="FF20" s="58"/>
      <c r="FG20" s="58"/>
      <c r="FH20" s="58"/>
      <c r="FI20" s="58"/>
      <c r="FJ20" s="58"/>
      <c r="FK20" s="58"/>
      <c r="FL20" s="58"/>
      <c r="FM20" s="58"/>
      <c r="FN20" s="58"/>
      <c r="FO20" s="58"/>
      <c r="FP20" s="58"/>
      <c r="FQ20" s="58"/>
      <c r="FR20" s="58"/>
      <c r="FS20" s="58"/>
      <c r="FT20" s="58"/>
      <c r="FU20" s="58"/>
      <c r="FV20" s="58"/>
    </row>
    <row r="21" spans="1:178">
      <c r="A21" s="21" t="s">
        <v>14</v>
      </c>
      <c r="B21" s="606"/>
      <c r="C21" s="607"/>
      <c r="D21" s="179"/>
    </row>
    <row r="22" spans="1:178">
      <c r="A22" s="21" t="s">
        <v>15</v>
      </c>
      <c r="B22" s="658">
        <v>1</v>
      </c>
      <c r="C22" s="658">
        <v>0</v>
      </c>
      <c r="D22" s="179">
        <f>B22+C22</f>
        <v>1</v>
      </c>
    </row>
    <row r="23" spans="1:178">
      <c r="A23" s="21" t="s">
        <v>16</v>
      </c>
      <c r="B23" s="658">
        <v>1</v>
      </c>
      <c r="C23" s="658">
        <v>0</v>
      </c>
      <c r="D23" s="179">
        <f t="shared" ref="D23:D36" si="0">B23+C23</f>
        <v>1</v>
      </c>
    </row>
    <row r="24" spans="1:178">
      <c r="A24" s="21" t="s">
        <v>17</v>
      </c>
      <c r="B24" s="658">
        <v>0</v>
      </c>
      <c r="C24" s="658">
        <v>0</v>
      </c>
      <c r="D24" s="179">
        <f t="shared" si="0"/>
        <v>0</v>
      </c>
    </row>
    <row r="25" spans="1:178">
      <c r="A25" s="21" t="s">
        <v>18</v>
      </c>
      <c r="B25" s="658">
        <v>1</v>
      </c>
      <c r="C25" s="658">
        <v>2</v>
      </c>
      <c r="D25" s="179">
        <f t="shared" si="0"/>
        <v>3</v>
      </c>
    </row>
    <row r="26" spans="1:178">
      <c r="A26" s="21" t="s">
        <v>19</v>
      </c>
      <c r="B26" s="658">
        <v>2</v>
      </c>
      <c r="C26" s="658">
        <v>1</v>
      </c>
      <c r="D26" s="179">
        <f t="shared" si="0"/>
        <v>3</v>
      </c>
      <c r="E26" s="117"/>
      <c r="F26" s="117"/>
      <c r="G26" s="117"/>
    </row>
    <row r="27" spans="1:178">
      <c r="A27" s="21" t="s">
        <v>20</v>
      </c>
      <c r="B27" s="658">
        <v>1</v>
      </c>
      <c r="C27" s="658">
        <v>0</v>
      </c>
      <c r="D27" s="179">
        <f t="shared" si="0"/>
        <v>1</v>
      </c>
      <c r="E27" s="117"/>
      <c r="F27" s="117"/>
      <c r="G27" s="117"/>
    </row>
    <row r="28" spans="1:178">
      <c r="A28" s="21" t="s">
        <v>21</v>
      </c>
      <c r="B28" s="658">
        <v>1</v>
      </c>
      <c r="C28" s="658">
        <v>0</v>
      </c>
      <c r="D28" s="179">
        <f t="shared" si="0"/>
        <v>1</v>
      </c>
      <c r="E28" s="117"/>
      <c r="F28" s="117"/>
      <c r="G28" s="117"/>
    </row>
    <row r="29" spans="1:178">
      <c r="A29" s="21" t="s">
        <v>22</v>
      </c>
      <c r="B29" s="658">
        <v>2</v>
      </c>
      <c r="C29" s="658">
        <v>0</v>
      </c>
      <c r="D29" s="179">
        <f t="shared" si="0"/>
        <v>2</v>
      </c>
      <c r="E29" s="117"/>
      <c r="F29" s="118"/>
      <c r="G29" s="117"/>
    </row>
    <row r="30" spans="1:178">
      <c r="A30" s="21" t="s">
        <v>23</v>
      </c>
      <c r="B30" s="658">
        <v>0</v>
      </c>
      <c r="C30" s="658">
        <v>0</v>
      </c>
      <c r="D30" s="179"/>
      <c r="E30" s="117"/>
      <c r="F30" s="117"/>
      <c r="G30" s="117"/>
    </row>
    <row r="31" spans="1:178">
      <c r="A31" s="21" t="s">
        <v>24</v>
      </c>
      <c r="B31" s="658">
        <v>0</v>
      </c>
      <c r="C31" s="658">
        <v>0</v>
      </c>
      <c r="D31" s="179"/>
      <c r="E31" s="117"/>
      <c r="F31" s="117"/>
      <c r="G31" s="117"/>
    </row>
    <row r="32" spans="1:178">
      <c r="A32" s="21" t="s">
        <v>25</v>
      </c>
      <c r="B32" s="658">
        <v>2</v>
      </c>
      <c r="C32" s="658">
        <v>0</v>
      </c>
      <c r="D32" s="179">
        <f t="shared" si="0"/>
        <v>2</v>
      </c>
      <c r="E32" s="117"/>
      <c r="F32" s="117"/>
      <c r="G32" s="117"/>
    </row>
    <row r="33" spans="1:178">
      <c r="A33" s="21" t="s">
        <v>125</v>
      </c>
      <c r="B33" s="658">
        <v>2</v>
      </c>
      <c r="C33" s="658">
        <v>1</v>
      </c>
      <c r="D33" s="179">
        <f t="shared" si="0"/>
        <v>3</v>
      </c>
      <c r="E33" s="117"/>
      <c r="F33" s="117"/>
      <c r="G33" s="117"/>
    </row>
    <row r="34" spans="1:178" s="181" customFormat="1">
      <c r="A34" s="132" t="s">
        <v>126</v>
      </c>
      <c r="B34" s="658">
        <v>0</v>
      </c>
      <c r="C34" s="658">
        <v>1</v>
      </c>
      <c r="D34" s="179">
        <f t="shared" si="0"/>
        <v>1</v>
      </c>
      <c r="E34" s="247"/>
      <c r="F34" s="247"/>
      <c r="G34" s="117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58"/>
      <c r="BF34" s="58"/>
      <c r="BG34" s="58"/>
      <c r="BH34" s="58"/>
      <c r="BI34" s="58"/>
      <c r="BJ34" s="58"/>
      <c r="BK34" s="58"/>
      <c r="BL34" s="58"/>
      <c r="BM34" s="58"/>
      <c r="BN34" s="58"/>
      <c r="BO34" s="58"/>
      <c r="BP34" s="58"/>
      <c r="BQ34" s="58"/>
      <c r="BR34" s="58"/>
      <c r="BS34" s="58"/>
      <c r="BT34" s="58"/>
      <c r="BU34" s="58"/>
      <c r="BV34" s="58"/>
      <c r="BW34" s="58"/>
      <c r="BX34" s="58"/>
      <c r="BY34" s="58"/>
      <c r="BZ34" s="58"/>
      <c r="CA34" s="58"/>
      <c r="CB34" s="58"/>
      <c r="CC34" s="58"/>
      <c r="CD34" s="58"/>
      <c r="CE34" s="58"/>
      <c r="CF34" s="58"/>
      <c r="CG34" s="58"/>
      <c r="CH34" s="58"/>
      <c r="CI34" s="58"/>
      <c r="CJ34" s="58"/>
      <c r="CK34" s="58"/>
      <c r="CL34" s="58"/>
      <c r="CM34" s="58"/>
      <c r="CN34" s="58"/>
      <c r="CO34" s="58"/>
      <c r="CP34" s="58"/>
      <c r="CQ34" s="58"/>
      <c r="CR34" s="58"/>
      <c r="CS34" s="58"/>
      <c r="CT34" s="58"/>
      <c r="CU34" s="58"/>
      <c r="CV34" s="58"/>
      <c r="CW34" s="58"/>
      <c r="CX34" s="58"/>
      <c r="CY34" s="58"/>
      <c r="CZ34" s="58"/>
      <c r="DA34" s="58"/>
      <c r="DB34" s="58"/>
      <c r="DC34" s="58"/>
      <c r="DD34" s="58"/>
      <c r="DE34" s="58"/>
      <c r="DF34" s="58"/>
      <c r="DG34" s="58"/>
      <c r="DH34" s="58"/>
      <c r="DI34" s="58"/>
      <c r="DJ34" s="58"/>
      <c r="DK34" s="58"/>
      <c r="DL34" s="58"/>
      <c r="DM34" s="58"/>
      <c r="DN34" s="58"/>
      <c r="DO34" s="58"/>
      <c r="DP34" s="58"/>
      <c r="DQ34" s="58"/>
      <c r="DR34" s="58"/>
      <c r="DS34" s="58"/>
      <c r="DT34" s="58"/>
      <c r="DU34" s="58"/>
      <c r="DV34" s="58"/>
      <c r="DW34" s="58"/>
      <c r="DX34" s="58"/>
      <c r="DY34" s="58"/>
      <c r="DZ34" s="58"/>
      <c r="EA34" s="58"/>
      <c r="EB34" s="58"/>
      <c r="EC34" s="58"/>
      <c r="ED34" s="58"/>
      <c r="EE34" s="58"/>
      <c r="EF34" s="58"/>
      <c r="EG34" s="58"/>
      <c r="EH34" s="58"/>
      <c r="EI34" s="58"/>
      <c r="EJ34" s="58"/>
      <c r="EK34" s="58"/>
      <c r="EL34" s="58"/>
      <c r="EM34" s="58"/>
      <c r="EN34" s="58"/>
      <c r="EO34" s="58"/>
      <c r="EP34" s="58"/>
      <c r="EQ34" s="58"/>
      <c r="ER34" s="58"/>
      <c r="ES34" s="58"/>
      <c r="ET34" s="58"/>
      <c r="EU34" s="58"/>
      <c r="EV34" s="58"/>
      <c r="EW34" s="58"/>
      <c r="EX34" s="58"/>
      <c r="EY34" s="58"/>
      <c r="EZ34" s="58"/>
      <c r="FA34" s="58"/>
      <c r="FB34" s="58"/>
      <c r="FC34" s="58"/>
      <c r="FD34" s="58"/>
      <c r="FE34" s="58"/>
      <c r="FF34" s="58"/>
      <c r="FG34" s="58"/>
      <c r="FH34" s="58"/>
      <c r="FI34" s="58"/>
      <c r="FJ34" s="58"/>
      <c r="FK34" s="58"/>
      <c r="FL34" s="58"/>
      <c r="FM34" s="58"/>
      <c r="FN34" s="58"/>
      <c r="FO34" s="58"/>
      <c r="FP34" s="58"/>
      <c r="FQ34" s="58"/>
      <c r="FR34" s="58"/>
      <c r="FS34" s="58"/>
      <c r="FT34" s="58"/>
      <c r="FU34" s="58"/>
      <c r="FV34" s="58"/>
    </row>
    <row r="35" spans="1:178">
      <c r="A35" s="132" t="s">
        <v>26</v>
      </c>
      <c r="B35" s="658">
        <v>0</v>
      </c>
      <c r="C35" s="658">
        <v>1</v>
      </c>
      <c r="D35" s="179">
        <f t="shared" si="0"/>
        <v>1</v>
      </c>
      <c r="E35" s="117"/>
      <c r="F35" s="117"/>
      <c r="G35" s="117"/>
    </row>
    <row r="36" spans="1:178">
      <c r="A36" s="132" t="s">
        <v>27</v>
      </c>
      <c r="B36" s="658">
        <v>0</v>
      </c>
      <c r="C36" s="658">
        <v>1</v>
      </c>
      <c r="D36" s="179">
        <f t="shared" si="0"/>
        <v>1</v>
      </c>
      <c r="E36" s="247"/>
      <c r="F36" s="247"/>
      <c r="G36" s="117"/>
    </row>
    <row r="37" spans="1:178" ht="13.5" thickBot="1">
      <c r="A37" s="132"/>
      <c r="B37" s="608"/>
      <c r="C37" s="609"/>
      <c r="D37" s="283"/>
      <c r="E37" s="117"/>
      <c r="F37" s="117"/>
      <c r="G37" s="117"/>
    </row>
    <row r="38" spans="1:178" ht="13.5" thickBot="1">
      <c r="A38" s="280" t="s">
        <v>2</v>
      </c>
      <c r="B38" s="522">
        <f>SUM(B4:B37)</f>
        <v>13</v>
      </c>
      <c r="C38" s="523">
        <f>SUM(C4:C37)</f>
        <v>7</v>
      </c>
      <c r="D38" s="522">
        <f>SUM(D4:D37)</f>
        <v>20</v>
      </c>
      <c r="E38" s="117"/>
      <c r="F38" s="117"/>
      <c r="G38" s="117"/>
    </row>
    <row r="39" spans="1:178">
      <c r="A39" s="153" t="s">
        <v>185</v>
      </c>
      <c r="B39" s="500">
        <f>SUM(B6:B19)</f>
        <v>0</v>
      </c>
      <c r="C39" s="500">
        <f>SUM(C6:C19)</f>
        <v>0</v>
      </c>
      <c r="D39" s="500">
        <f>SUM(D6:D19)</f>
        <v>0</v>
      </c>
      <c r="E39" s="117"/>
      <c r="F39" s="117"/>
      <c r="G39" s="117"/>
    </row>
    <row r="40" spans="1:178">
      <c r="A40" s="153" t="s">
        <v>139</v>
      </c>
      <c r="B40" s="500">
        <f>SUM(B20:B33)</f>
        <v>13</v>
      </c>
      <c r="C40" s="500">
        <f>SUM(C20:C33)</f>
        <v>4</v>
      </c>
      <c r="D40" s="500">
        <f>SUM(D20:D33)</f>
        <v>17</v>
      </c>
      <c r="E40" s="117"/>
      <c r="F40" s="117"/>
      <c r="G40" s="117"/>
    </row>
    <row r="41" spans="1:178" ht="13.5" thickBot="1">
      <c r="A41" s="243" t="s">
        <v>100</v>
      </c>
      <c r="B41" s="501">
        <f>SUM(B34:B36)</f>
        <v>0</v>
      </c>
      <c r="C41" s="501">
        <f>SUM(C34:C36)</f>
        <v>3</v>
      </c>
      <c r="D41" s="502">
        <f>SUM(D34:D36)</f>
        <v>3</v>
      </c>
      <c r="E41" s="117"/>
      <c r="F41" s="117"/>
      <c r="G41" s="117"/>
    </row>
    <row r="42" spans="1:178">
      <c r="A42" s="5"/>
      <c r="B42" s="6"/>
      <c r="C42" s="589"/>
      <c r="D42" s="590"/>
      <c r="E42" s="117"/>
      <c r="F42" s="117"/>
      <c r="G42" s="117"/>
    </row>
    <row r="43" spans="1:178">
      <c r="A43" s="33" t="s">
        <v>376</v>
      </c>
      <c r="B43" s="12"/>
      <c r="C43" s="182"/>
      <c r="D43" s="591"/>
      <c r="E43" s="117"/>
      <c r="F43" s="117"/>
      <c r="G43" s="117"/>
    </row>
    <row r="44" spans="1:178">
      <c r="A44" s="33"/>
      <c r="B44" s="576" t="s">
        <v>481</v>
      </c>
      <c r="C44" s="182"/>
      <c r="D44" s="591"/>
      <c r="E44" s="117"/>
      <c r="F44" s="117"/>
      <c r="G44" s="117"/>
    </row>
    <row r="45" spans="1:178" ht="13.5" thickBot="1">
      <c r="A45" s="94"/>
      <c r="B45" s="597" t="s">
        <v>375</v>
      </c>
      <c r="C45" s="209"/>
      <c r="D45" s="461"/>
      <c r="E45" s="117"/>
      <c r="F45" s="117"/>
      <c r="G45" s="117"/>
    </row>
    <row r="46" spans="1:178">
      <c r="A46" s="8"/>
      <c r="B46" s="8"/>
      <c r="C46" s="182"/>
      <c r="D46" s="182"/>
      <c r="E46" s="117"/>
      <c r="F46" s="117"/>
      <c r="G46" s="117"/>
    </row>
    <row r="47" spans="1:178">
      <c r="A47" s="340" t="s">
        <v>102</v>
      </c>
      <c r="B47" s="18">
        <f>SUM(B39:B41)-B38</f>
        <v>0</v>
      </c>
      <c r="C47" s="18">
        <f>SUM(C39:C41)-C38</f>
        <v>0</v>
      </c>
      <c r="D47" s="18">
        <f>SUM(D39:D41)-D38</f>
        <v>0</v>
      </c>
      <c r="E47" s="117"/>
      <c r="F47" s="117"/>
      <c r="G47" s="117"/>
    </row>
    <row r="48" spans="1:178">
      <c r="A48" s="148"/>
      <c r="B48" s="148"/>
      <c r="C48" s="118"/>
      <c r="D48" s="13"/>
      <c r="E48" s="117"/>
      <c r="F48" s="117"/>
      <c r="G48" s="117"/>
    </row>
    <row r="49" spans="1:7">
      <c r="A49" s="148"/>
      <c r="B49" s="148"/>
      <c r="C49" s="182"/>
      <c r="D49" s="182"/>
      <c r="E49" s="117"/>
      <c r="F49" s="118"/>
      <c r="G49" s="117"/>
    </row>
    <row r="50" spans="1:7">
      <c r="A50" s="148"/>
      <c r="B50" s="148"/>
      <c r="C50" s="13"/>
      <c r="D50" s="13"/>
      <c r="E50" s="117"/>
      <c r="F50" s="117"/>
      <c r="G50" s="117"/>
    </row>
    <row r="51" spans="1:7">
      <c r="A51" s="148"/>
      <c r="B51" s="148"/>
      <c r="C51" s="248"/>
      <c r="D51" s="13"/>
      <c r="E51" s="117"/>
      <c r="F51" s="117"/>
      <c r="G51" s="117"/>
    </row>
    <row r="52" spans="1:7">
      <c r="A52" s="148"/>
      <c r="B52" s="148"/>
      <c r="C52" s="12"/>
      <c r="D52" s="12"/>
      <c r="E52" s="117"/>
      <c r="F52" s="117"/>
      <c r="G52" s="117"/>
    </row>
    <row r="53" spans="1:7">
      <c r="A53" s="21"/>
      <c r="B53" s="148"/>
    </row>
    <row r="54" spans="1:7">
      <c r="A54" s="21"/>
      <c r="B54" s="148"/>
    </row>
    <row r="55" spans="1:7">
      <c r="A55" s="21"/>
      <c r="B55" s="148"/>
    </row>
    <row r="56" spans="1:7">
      <c r="A56" s="21"/>
      <c r="B56" s="148"/>
    </row>
    <row r="57" spans="1:7">
      <c r="A57" s="21"/>
      <c r="B57" s="148"/>
    </row>
    <row r="58" spans="1:7">
      <c r="A58" s="21"/>
      <c r="B58" s="148"/>
    </row>
    <row r="59" spans="1:7">
      <c r="A59" s="21"/>
      <c r="B59" s="148"/>
    </row>
    <row r="60" spans="1:7">
      <c r="A60" s="21"/>
      <c r="B60" s="148"/>
    </row>
    <row r="61" spans="1:7">
      <c r="A61" s="19"/>
      <c r="B61" s="19"/>
    </row>
    <row r="73" spans="1:2">
      <c r="A73" s="19"/>
      <c r="B73" s="19"/>
    </row>
  </sheetData>
  <mergeCells count="1">
    <mergeCell ref="A1:D1"/>
  </mergeCells>
  <phoneticPr fontId="0" type="noConversion"/>
  <printOptions horizontalCentered="1"/>
  <pageMargins left="0.75" right="0.75" top="1" bottom="1" header="0.5" footer="0.5"/>
  <pageSetup scale="68" orientation="portrait" r:id="rId1"/>
  <headerFooter alignWithMargins="0">
    <oddFooter>&amp;L&amp;F
&amp;A&amp;R&amp;P of &amp;N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sheetPr codeName="Sheet52">
    <tabColor rgb="FFFFC000"/>
    <pageSetUpPr fitToPage="1"/>
  </sheetPr>
  <dimension ref="A1:N62"/>
  <sheetViews>
    <sheetView zoomScaleNormal="100" workbookViewId="0">
      <pane ySplit="4" topLeftCell="A18" activePane="bottomLeft" state="frozen"/>
      <selection activeCell="D15" sqref="D15"/>
      <selection pane="bottomLeft" activeCell="C33" sqref="C33"/>
    </sheetView>
  </sheetViews>
  <sheetFormatPr defaultRowHeight="12.75"/>
  <cols>
    <col min="1" max="1" width="29.28515625" customWidth="1"/>
    <col min="2" max="2" width="12.85546875" bestFit="1" customWidth="1"/>
    <col min="3" max="5" width="11.140625" customWidth="1"/>
    <col min="6" max="6" width="12.85546875" bestFit="1" customWidth="1"/>
    <col min="7" max="9" width="11.140625" customWidth="1"/>
    <col min="10" max="10" width="12.85546875" bestFit="1" customWidth="1"/>
    <col min="11" max="13" width="10.28515625" customWidth="1"/>
    <col min="14" max="14" width="10.28515625" bestFit="1" customWidth="1"/>
  </cols>
  <sheetData>
    <row r="1" spans="1:13" ht="18.75" thickBot="1">
      <c r="A1" s="841" t="s">
        <v>187</v>
      </c>
      <c r="B1" s="841"/>
      <c r="C1" s="841"/>
      <c r="D1" s="841"/>
      <c r="E1" s="841"/>
      <c r="F1" s="307"/>
    </row>
    <row r="2" spans="1:13" ht="13.5" thickBot="1">
      <c r="A2" s="308"/>
      <c r="B2" s="827" t="s">
        <v>133</v>
      </c>
      <c r="C2" s="828"/>
      <c r="D2" s="828"/>
      <c r="E2" s="829"/>
      <c r="F2" s="827" t="s">
        <v>259</v>
      </c>
      <c r="G2" s="828"/>
      <c r="H2" s="828"/>
      <c r="I2" s="828"/>
      <c r="J2" s="828" t="s">
        <v>261</v>
      </c>
      <c r="K2" s="828"/>
      <c r="L2" s="828"/>
      <c r="M2" s="829"/>
    </row>
    <row r="3" spans="1:13" ht="13.5" thickBot="1">
      <c r="A3" s="311" t="s">
        <v>4</v>
      </c>
      <c r="B3" s="311" t="s">
        <v>36</v>
      </c>
      <c r="C3" s="312" t="s">
        <v>37</v>
      </c>
      <c r="D3" s="312" t="s">
        <v>38</v>
      </c>
      <c r="E3" s="313" t="s">
        <v>41</v>
      </c>
      <c r="F3" s="311" t="s">
        <v>36</v>
      </c>
      <c r="G3" s="312" t="s">
        <v>37</v>
      </c>
      <c r="H3" s="312" t="s">
        <v>38</v>
      </c>
      <c r="I3" s="312" t="s">
        <v>41</v>
      </c>
      <c r="J3" s="311" t="s">
        <v>36</v>
      </c>
      <c r="K3" s="312" t="s">
        <v>37</v>
      </c>
      <c r="L3" s="312" t="s">
        <v>38</v>
      </c>
      <c r="M3" s="313" t="s">
        <v>41</v>
      </c>
    </row>
    <row r="4" spans="1:13">
      <c r="A4" s="5"/>
      <c r="B4" s="5" t="s">
        <v>42</v>
      </c>
      <c r="C4" s="6" t="s">
        <v>42</v>
      </c>
      <c r="D4" s="6" t="s">
        <v>42</v>
      </c>
      <c r="E4" s="7" t="s">
        <v>43</v>
      </c>
      <c r="F4" s="5" t="s">
        <v>42</v>
      </c>
      <c r="G4" s="150" t="s">
        <v>42</v>
      </c>
      <c r="H4" s="150" t="s">
        <v>42</v>
      </c>
      <c r="I4" s="150" t="s">
        <v>43</v>
      </c>
      <c r="J4" s="132" t="s">
        <v>42</v>
      </c>
      <c r="K4" s="148" t="s">
        <v>42</v>
      </c>
      <c r="L4" s="148" t="s">
        <v>42</v>
      </c>
      <c r="M4" s="341" t="s">
        <v>43</v>
      </c>
    </row>
    <row r="5" spans="1:13">
      <c r="A5" s="10"/>
      <c r="B5" s="10"/>
      <c r="C5" s="8"/>
      <c r="D5" s="8"/>
      <c r="E5" s="9"/>
      <c r="F5" s="10"/>
      <c r="G5" s="12"/>
      <c r="H5" s="12"/>
      <c r="I5" s="12"/>
      <c r="J5" s="11"/>
      <c r="K5" s="12"/>
      <c r="L5" s="12"/>
      <c r="M5" s="101"/>
    </row>
    <row r="6" spans="1:13">
      <c r="A6" s="21" t="s">
        <v>5</v>
      </c>
      <c r="B6" s="21"/>
      <c r="C6" s="23">
        <f>'Sch A6-TOU Cust Fcst '!$B6*'Non-Residential TSM UC Adj'!S7</f>
        <v>0</v>
      </c>
      <c r="D6" s="23">
        <f>'Sch A6-TOU Cust Fcst '!$B6*'Non-Residential TSM UC Adj'!T7</f>
        <v>0</v>
      </c>
      <c r="E6" s="45">
        <f>IF(SUM(C6:D6)=0,0,SUM(C6:D6)/'Sch A6-TOU Cust Fcst '!B6)</f>
        <v>0</v>
      </c>
      <c r="F6" s="21"/>
      <c r="G6" s="74">
        <f>'Sch A6-TOU Cust Fcst '!$C6*'Non-Residential TSM UC Adj'!W7</f>
        <v>0</v>
      </c>
      <c r="H6" s="74">
        <f>'Sch A6-TOU Cust Fcst '!$C6*'Non-Residential TSM UC Adj'!X7</f>
        <v>0</v>
      </c>
      <c r="I6" s="23">
        <f>IF(SUM(G6:H6)=0,0,SUM(G6:H6)/'Sch A6-TOU Cust Fcst '!C6)</f>
        <v>0</v>
      </c>
      <c r="J6" s="11"/>
      <c r="K6" s="25">
        <f t="shared" ref="K6:K16" si="0">C6+G6</f>
        <v>0</v>
      </c>
      <c r="L6" s="25">
        <f t="shared" ref="L6:L16" si="1">D6+H6</f>
        <v>0</v>
      </c>
      <c r="M6" s="45">
        <f>IF(SUM(K6:L6)=0,0,SUM(K6:L6)/'Sch A6-TOU Cust Fcst '!D6)</f>
        <v>0</v>
      </c>
    </row>
    <row r="7" spans="1:13">
      <c r="A7" s="21" t="s">
        <v>6</v>
      </c>
      <c r="B7" s="21"/>
      <c r="C7" s="23">
        <f>'Sch A6-TOU Cust Fcst '!$B7*'Non-Residential TSM UC Adj'!S8</f>
        <v>0</v>
      </c>
      <c r="D7" s="23">
        <f>'Sch A6-TOU Cust Fcst '!$B7*'Non-Residential TSM UC Adj'!T8</f>
        <v>0</v>
      </c>
      <c r="E7" s="45">
        <f>IF(SUM(C7:D7)=0,0,SUM(C7:D7)/'Sch A6-TOU Cust Fcst '!B7)</f>
        <v>0</v>
      </c>
      <c r="F7" s="21"/>
      <c r="G7" s="74">
        <f>'Sch A6-TOU Cust Fcst '!$C7*'Non-Residential TSM UC Adj'!W8</f>
        <v>0</v>
      </c>
      <c r="H7" s="74">
        <f>'Sch A6-TOU Cust Fcst '!$C7*'Non-Residential TSM UC Adj'!X8</f>
        <v>0</v>
      </c>
      <c r="I7" s="23">
        <f>IF(SUM(G7:H7)=0,0,SUM(G7:H7)/'Sch A6-TOU Cust Fcst '!C7)</f>
        <v>0</v>
      </c>
      <c r="J7" s="11"/>
      <c r="K7" s="25">
        <f t="shared" si="0"/>
        <v>0</v>
      </c>
      <c r="L7" s="25">
        <f t="shared" si="1"/>
        <v>0</v>
      </c>
      <c r="M7" s="45">
        <f>IF(SUM(K7:L7)=0,0,SUM(K7:L7)/'Sch A6-TOU Cust Fcst '!D7)</f>
        <v>0</v>
      </c>
    </row>
    <row r="8" spans="1:13">
      <c r="A8" s="21" t="s">
        <v>7</v>
      </c>
      <c r="B8" s="21"/>
      <c r="C8" s="23">
        <f>'Sch A6-TOU Cust Fcst '!$B8*'Non-Residential TSM UC Adj'!S9</f>
        <v>0</v>
      </c>
      <c r="D8" s="23">
        <f>'Sch A6-TOU Cust Fcst '!$B8*'Non-Residential TSM UC Adj'!T9</f>
        <v>0</v>
      </c>
      <c r="E8" s="45">
        <f>IF(SUM(C8:D8)=0,0,SUM(C8:D8)/'Sch A6-TOU Cust Fcst '!B8)</f>
        <v>0</v>
      </c>
      <c r="F8" s="21"/>
      <c r="G8" s="74">
        <f>'Sch A6-TOU Cust Fcst '!$C8*'Non-Residential TSM UC Adj'!W9</f>
        <v>0</v>
      </c>
      <c r="H8" s="74">
        <f>'Sch A6-TOU Cust Fcst '!$C8*'Non-Residential TSM UC Adj'!X9</f>
        <v>0</v>
      </c>
      <c r="I8" s="23">
        <f>IF(SUM(G8:H8)=0,0,SUM(G8:H8)/'Sch A6-TOU Cust Fcst '!C8)</f>
        <v>0</v>
      </c>
      <c r="J8" s="11"/>
      <c r="K8" s="25">
        <f t="shared" si="0"/>
        <v>0</v>
      </c>
      <c r="L8" s="25">
        <f t="shared" si="1"/>
        <v>0</v>
      </c>
      <c r="M8" s="45">
        <f>IF(SUM(K8:L8)=0,0,SUM(K8:L8)/'Sch A6-TOU Cust Fcst '!D8)</f>
        <v>0</v>
      </c>
    </row>
    <row r="9" spans="1:13">
      <c r="A9" s="21" t="s">
        <v>124</v>
      </c>
      <c r="B9" s="21"/>
      <c r="C9" s="23">
        <f>'Sch A6-TOU Cust Fcst '!$B9*'Non-Residential TSM UC Adj'!S10</f>
        <v>0</v>
      </c>
      <c r="D9" s="23">
        <f>'Sch A6-TOU Cust Fcst '!$B9*'Non-Residential TSM UC Adj'!T10</f>
        <v>0</v>
      </c>
      <c r="E9" s="45">
        <f>IF(SUM(C9:D9)=0,0,SUM(C9:D9)/'Sch A6-TOU Cust Fcst '!B9)</f>
        <v>0</v>
      </c>
      <c r="F9" s="21"/>
      <c r="G9" s="74">
        <f>'Sch A6-TOU Cust Fcst '!$C9*'Non-Residential TSM UC Adj'!W10</f>
        <v>0</v>
      </c>
      <c r="H9" s="74">
        <f>'Sch A6-TOU Cust Fcst '!$C9*'Non-Residential TSM UC Adj'!X10</f>
        <v>0</v>
      </c>
      <c r="I9" s="23">
        <f>IF(SUM(G9:H9)=0,0,SUM(G9:H9)/'Sch A6-TOU Cust Fcst '!C9)</f>
        <v>0</v>
      </c>
      <c r="J9" s="11"/>
      <c r="K9" s="25">
        <f t="shared" si="0"/>
        <v>0</v>
      </c>
      <c r="L9" s="25">
        <f t="shared" si="1"/>
        <v>0</v>
      </c>
      <c r="M9" s="45">
        <f>IF(SUM(K9:L9)=0,0,SUM(K9:L9)/'Sch A6-TOU Cust Fcst '!D9)</f>
        <v>0</v>
      </c>
    </row>
    <row r="10" spans="1:13">
      <c r="A10" s="21" t="s">
        <v>116</v>
      </c>
      <c r="B10" s="21"/>
      <c r="C10" s="23">
        <f>'Sch A6-TOU Cust Fcst '!$B10*'Non-Residential TSM UC Adj'!S11</f>
        <v>0</v>
      </c>
      <c r="D10" s="23">
        <f>'Sch A6-TOU Cust Fcst '!$B10*'Non-Residential TSM UC Adj'!T11</f>
        <v>0</v>
      </c>
      <c r="E10" s="45">
        <f>IF(SUM(C10:D10)=0,0,SUM(C10:D10)/'Sch A6-TOU Cust Fcst '!B10)</f>
        <v>0</v>
      </c>
      <c r="F10" s="21"/>
      <c r="G10" s="74">
        <f>'Sch A6-TOU Cust Fcst '!$C10*'Non-Residential TSM UC Adj'!W11</f>
        <v>0</v>
      </c>
      <c r="H10" s="74">
        <f>'Sch A6-TOU Cust Fcst '!$C10*'Non-Residential TSM UC Adj'!X11</f>
        <v>0</v>
      </c>
      <c r="I10" s="23">
        <f>IF(SUM(G10:H10)=0,0,SUM(G10:H10)/'Sch A6-TOU Cust Fcst '!C10)</f>
        <v>0</v>
      </c>
      <c r="J10" s="11"/>
      <c r="K10" s="25">
        <f t="shared" si="0"/>
        <v>0</v>
      </c>
      <c r="L10" s="25">
        <f t="shared" si="1"/>
        <v>0</v>
      </c>
      <c r="M10" s="45">
        <f>IF(SUM(K10:L10)=0,0,SUM(K10:L10)/'Sch A6-TOU Cust Fcst '!D10)</f>
        <v>0</v>
      </c>
    </row>
    <row r="11" spans="1:13">
      <c r="A11" s="21" t="s">
        <v>8</v>
      </c>
      <c r="B11" s="21"/>
      <c r="C11" s="23">
        <f>'Sch A6-TOU Cust Fcst '!$B11*'Non-Residential TSM UC Adj'!S12</f>
        <v>0</v>
      </c>
      <c r="D11" s="23">
        <f>'Sch A6-TOU Cust Fcst '!$B11*'Non-Residential TSM UC Adj'!T12</f>
        <v>0</v>
      </c>
      <c r="E11" s="45">
        <f>IF(SUM(C11:D11)=0,0,SUM(C11:D11)/'Sch A6-TOU Cust Fcst '!B11)</f>
        <v>0</v>
      </c>
      <c r="F11" s="21"/>
      <c r="G11" s="74">
        <f>'Sch A6-TOU Cust Fcst '!$C11*'Non-Residential TSM UC Adj'!W12</f>
        <v>0</v>
      </c>
      <c r="H11" s="74">
        <f>'Sch A6-TOU Cust Fcst '!$C11*'Non-Residential TSM UC Adj'!X12</f>
        <v>0</v>
      </c>
      <c r="I11" s="23">
        <f>IF(SUM(G11:H11)=0,0,SUM(G11:H11)/'Sch A6-TOU Cust Fcst '!C11)</f>
        <v>0</v>
      </c>
      <c r="J11" s="11"/>
      <c r="K11" s="25">
        <f t="shared" si="0"/>
        <v>0</v>
      </c>
      <c r="L11" s="25">
        <f t="shared" si="1"/>
        <v>0</v>
      </c>
      <c r="M11" s="45">
        <f>IF(SUM(K11:L11)=0,0,SUM(K11:L11)/'Sch A6-TOU Cust Fcst '!D11)</f>
        <v>0</v>
      </c>
    </row>
    <row r="12" spans="1:13">
      <c r="A12" s="21" t="s">
        <v>9</v>
      </c>
      <c r="B12" s="21"/>
      <c r="C12" s="23">
        <f>'Sch A6-TOU Cust Fcst '!$B12*'Non-Residential TSM UC Adj'!S13</f>
        <v>0</v>
      </c>
      <c r="D12" s="23">
        <f>'Sch A6-TOU Cust Fcst '!$B12*'Non-Residential TSM UC Adj'!T13</f>
        <v>0</v>
      </c>
      <c r="E12" s="45">
        <f>IF(SUM(C12:D12)=0,0,SUM(C12:D12)/'Sch A6-TOU Cust Fcst '!B12)</f>
        <v>0</v>
      </c>
      <c r="F12" s="21"/>
      <c r="G12" s="74">
        <f>'Sch A6-TOU Cust Fcst '!$C12*'Non-Residential TSM UC Adj'!W13</f>
        <v>0</v>
      </c>
      <c r="H12" s="74">
        <f>'Sch A6-TOU Cust Fcst '!$C12*'Non-Residential TSM UC Adj'!X13</f>
        <v>0</v>
      </c>
      <c r="I12" s="23">
        <f>IF(SUM(G12:H12)=0,0,SUM(G12:H12)/'Sch A6-TOU Cust Fcst '!C12)</f>
        <v>0</v>
      </c>
      <c r="J12" s="11"/>
      <c r="K12" s="25">
        <f t="shared" si="0"/>
        <v>0</v>
      </c>
      <c r="L12" s="25">
        <f t="shared" si="1"/>
        <v>0</v>
      </c>
      <c r="M12" s="45">
        <f>IF(SUM(K12:L12)=0,0,SUM(K12:L12)/'Sch A6-TOU Cust Fcst '!D12)</f>
        <v>0</v>
      </c>
    </row>
    <row r="13" spans="1:13">
      <c r="A13" s="21" t="s">
        <v>10</v>
      </c>
      <c r="B13" s="21"/>
      <c r="C13" s="23">
        <f>'Sch A6-TOU Cust Fcst '!$B13*'Non-Residential TSM UC Adj'!S14</f>
        <v>0</v>
      </c>
      <c r="D13" s="23">
        <f>'Sch A6-TOU Cust Fcst '!$B13*'Non-Residential TSM UC Adj'!T14</f>
        <v>0</v>
      </c>
      <c r="E13" s="45">
        <f>IF(SUM(C13:D13)=0,0,SUM(C13:D13)/'Sch A6-TOU Cust Fcst '!B13)</f>
        <v>0</v>
      </c>
      <c r="F13" s="21"/>
      <c r="G13" s="74">
        <f>'Sch A6-TOU Cust Fcst '!$C13*'Non-Residential TSM UC Adj'!W14</f>
        <v>0</v>
      </c>
      <c r="H13" s="74">
        <f>'Sch A6-TOU Cust Fcst '!$C13*'Non-Residential TSM UC Adj'!X14</f>
        <v>0</v>
      </c>
      <c r="I13" s="23">
        <f>IF(SUM(G13:H13)=0,0,SUM(G13:H13)/'Sch A6-TOU Cust Fcst '!C13)</f>
        <v>0</v>
      </c>
      <c r="J13" s="11"/>
      <c r="K13" s="25">
        <f t="shared" si="0"/>
        <v>0</v>
      </c>
      <c r="L13" s="25">
        <f t="shared" si="1"/>
        <v>0</v>
      </c>
      <c r="M13" s="45">
        <f>IF(SUM(K13:L13)=0,0,SUM(K13:L13)/'Sch A6-TOU Cust Fcst '!D13)</f>
        <v>0</v>
      </c>
    </row>
    <row r="14" spans="1:13">
      <c r="A14" s="21" t="s">
        <v>11</v>
      </c>
      <c r="B14" s="21"/>
      <c r="C14" s="23">
        <f>'Sch A6-TOU Cust Fcst '!$B14*'Non-Residential TSM UC Adj'!S15</f>
        <v>0</v>
      </c>
      <c r="D14" s="23">
        <f>'Sch A6-TOU Cust Fcst '!$B14*'Non-Residential TSM UC Adj'!T15</f>
        <v>0</v>
      </c>
      <c r="E14" s="45">
        <f>IF(SUM(C14:D14)=0,0,SUM(C14:D14)/'Sch A6-TOU Cust Fcst '!B14)</f>
        <v>0</v>
      </c>
      <c r="F14" s="21"/>
      <c r="G14" s="74">
        <f>'Sch A6-TOU Cust Fcst '!$C14*'Non-Residential TSM UC Adj'!W15</f>
        <v>0</v>
      </c>
      <c r="H14" s="74">
        <f>'Sch A6-TOU Cust Fcst '!$C14*'Non-Residential TSM UC Adj'!X15</f>
        <v>0</v>
      </c>
      <c r="I14" s="23">
        <f>IF(SUM(G14:H14)=0,0,SUM(G14:H14)/'Sch A6-TOU Cust Fcst '!C14)</f>
        <v>0</v>
      </c>
      <c r="J14" s="11"/>
      <c r="K14" s="25">
        <f t="shared" si="0"/>
        <v>0</v>
      </c>
      <c r="L14" s="25">
        <f t="shared" si="1"/>
        <v>0</v>
      </c>
      <c r="M14" s="45">
        <f>IF(SUM(K14:L14)=0,0,SUM(K14:L14)/'Sch A6-TOU Cust Fcst '!D14)</f>
        <v>0</v>
      </c>
    </row>
    <row r="15" spans="1:13">
      <c r="A15" s="21" t="s">
        <v>120</v>
      </c>
      <c r="B15" s="21"/>
      <c r="C15" s="23">
        <f>'Sch A6-TOU Cust Fcst '!$B15*'Non-Residential TSM UC Adj'!S16</f>
        <v>0</v>
      </c>
      <c r="D15" s="23">
        <f>'Sch A6-TOU Cust Fcst '!$B15*'Non-Residential TSM UC Adj'!T16</f>
        <v>0</v>
      </c>
      <c r="E15" s="45">
        <f>IF(SUM(C15:D15)=0,0,SUM(C15:D15)/'Sch A6-TOU Cust Fcst '!B15)</f>
        <v>0</v>
      </c>
      <c r="F15" s="21"/>
      <c r="G15" s="74">
        <f>'Sch A6-TOU Cust Fcst '!$C15*'Non-Residential TSM UC Adj'!W16</f>
        <v>0</v>
      </c>
      <c r="H15" s="74">
        <f>'Sch A6-TOU Cust Fcst '!$C15*'Non-Residential TSM UC Adj'!X16</f>
        <v>0</v>
      </c>
      <c r="I15" s="23">
        <f>IF(SUM(G15:H15)=0,0,SUM(G15:H15)/'Sch A6-TOU Cust Fcst '!C15)</f>
        <v>0</v>
      </c>
      <c r="J15" s="11"/>
      <c r="K15" s="25">
        <f t="shared" si="0"/>
        <v>0</v>
      </c>
      <c r="L15" s="25">
        <f t="shared" si="1"/>
        <v>0</v>
      </c>
      <c r="M15" s="45">
        <f>IF(SUM(K15:L15)=0,0,SUM(K15:L15)/'Sch A6-TOU Cust Fcst '!D15)</f>
        <v>0</v>
      </c>
    </row>
    <row r="16" spans="1:13">
      <c r="A16" s="21" t="s">
        <v>121</v>
      </c>
      <c r="B16" s="21"/>
      <c r="C16" s="23">
        <f>'Sch A6-TOU Cust Fcst '!$B16*'Non-Residential TSM UC Adj'!S17</f>
        <v>0</v>
      </c>
      <c r="D16" s="23">
        <f>'Sch A6-TOU Cust Fcst '!$B16*'Non-Residential TSM UC Adj'!T17</f>
        <v>0</v>
      </c>
      <c r="E16" s="45">
        <f>IF(SUM(C16:D16)=0,0,SUM(C16:D16)/'Sch A6-TOU Cust Fcst '!B16)</f>
        <v>0</v>
      </c>
      <c r="F16" s="21"/>
      <c r="G16" s="74">
        <f>'Sch A6-TOU Cust Fcst '!$C16*'Non-Residential TSM UC Adj'!W17</f>
        <v>0</v>
      </c>
      <c r="H16" s="74">
        <f>'Sch A6-TOU Cust Fcst '!$C16*'Non-Residential TSM UC Adj'!X17</f>
        <v>0</v>
      </c>
      <c r="I16" s="23">
        <f>IF(SUM(G16:H16)=0,0,SUM(G16:H16)/'Sch A6-TOU Cust Fcst '!C16)</f>
        <v>0</v>
      </c>
      <c r="J16" s="11"/>
      <c r="K16" s="25">
        <f t="shared" si="0"/>
        <v>0</v>
      </c>
      <c r="L16" s="25">
        <f t="shared" si="1"/>
        <v>0</v>
      </c>
      <c r="M16" s="45">
        <f>IF(SUM(K16:L16)=0,0,SUM(K16:L16)/'Sch A6-TOU Cust Fcst '!D16)</f>
        <v>0</v>
      </c>
    </row>
    <row r="17" spans="1:13">
      <c r="A17" s="21" t="s">
        <v>12</v>
      </c>
      <c r="B17" s="21"/>
      <c r="C17" s="23">
        <f>'Sch A6-TOU Cust Fcst '!$B17*'Non-Residential TSM UC Adj'!S18</f>
        <v>0</v>
      </c>
      <c r="D17" s="23">
        <f>'Sch A6-TOU Cust Fcst '!$B17*'Non-Residential TSM UC Adj'!T18</f>
        <v>0</v>
      </c>
      <c r="E17" s="45">
        <f>IF(SUM(C17:D17)=0,0,SUM(C17:D17)/'Sch A6-TOU Cust Fcst '!B17)</f>
        <v>0</v>
      </c>
      <c r="F17" s="21"/>
      <c r="G17" s="74">
        <f>'Sch A6-TOU Cust Fcst '!$C17*'Non-Residential TSM UC Adj'!W18</f>
        <v>0</v>
      </c>
      <c r="H17" s="74">
        <f>'Sch A6-TOU Cust Fcst '!$C17*'Non-Residential TSM UC Adj'!X18</f>
        <v>0</v>
      </c>
      <c r="I17" s="23">
        <f>IF(SUM(G17:H17)=0,0,SUM(G17:H17)/'Sch A6-TOU Cust Fcst '!C17)</f>
        <v>0</v>
      </c>
      <c r="J17" s="11"/>
      <c r="K17" s="25"/>
      <c r="L17" s="25"/>
      <c r="M17" s="45">
        <f>IF(SUM(K17:L17)=0,0,SUM(K17:L17)/'Sch A6-TOU Cust Fcst '!D17)</f>
        <v>0</v>
      </c>
    </row>
    <row r="18" spans="1:13">
      <c r="A18" s="21" t="s">
        <v>13</v>
      </c>
      <c r="B18" s="21"/>
      <c r="C18" s="23">
        <f>'Sch A6-TOU Cust Fcst '!$B18*'Non-Residential TSM UC Adj'!S19</f>
        <v>0</v>
      </c>
      <c r="D18" s="23">
        <f>'Sch A6-TOU Cust Fcst '!$B18*'Non-Residential TSM UC Adj'!T19</f>
        <v>0</v>
      </c>
      <c r="E18" s="45">
        <f>IF(SUM(C18:D18)=0,0,SUM(C18:D18)/'Sch A6-TOU Cust Fcst '!B18)</f>
        <v>0</v>
      </c>
      <c r="F18" s="21"/>
      <c r="G18" s="74">
        <f>'Sch A6-TOU Cust Fcst '!$C18*'Non-Residential TSM UC Adj'!W19</f>
        <v>0</v>
      </c>
      <c r="H18" s="74">
        <f>'Sch A6-TOU Cust Fcst '!$C18*'Non-Residential TSM UC Adj'!X19</f>
        <v>0</v>
      </c>
      <c r="I18" s="23">
        <f>IF(SUM(G18:H18)=0,0,SUM(G18:H18)/'Sch A6-TOU Cust Fcst '!C18)</f>
        <v>0</v>
      </c>
      <c r="J18" s="11"/>
      <c r="K18" s="25">
        <f t="shared" ref="K18:K36" si="2">C18+G18</f>
        <v>0</v>
      </c>
      <c r="L18" s="25">
        <f t="shared" ref="L18:L36" si="3">D18+H18</f>
        <v>0</v>
      </c>
      <c r="M18" s="45">
        <f>IF(SUM(K18:L18)=0,0,SUM(K18:L18)/'Sch A6-TOU Cust Fcst '!D18)</f>
        <v>0</v>
      </c>
    </row>
    <row r="19" spans="1:13">
      <c r="A19" s="21" t="s">
        <v>122</v>
      </c>
      <c r="B19" s="21"/>
      <c r="C19" s="23">
        <f>'Sch A6-TOU Cust Fcst '!$B19*'Non-Residential TSM UC Adj'!S20</f>
        <v>0</v>
      </c>
      <c r="D19" s="23">
        <f>'Sch A6-TOU Cust Fcst '!$B19*'Non-Residential TSM UC Adj'!T20</f>
        <v>0</v>
      </c>
      <c r="E19" s="45">
        <f>IF(SUM(C19:D19)=0,0,SUM(C19:D19)/'Sch A6-TOU Cust Fcst '!B19)</f>
        <v>0</v>
      </c>
      <c r="F19" s="21"/>
      <c r="G19" s="74">
        <f>'Sch A6-TOU Cust Fcst '!$C19*'Non-Residential TSM UC Adj'!W20</f>
        <v>0</v>
      </c>
      <c r="H19" s="74">
        <f>'Sch A6-TOU Cust Fcst '!$C19*'Non-Residential TSM UC Adj'!X20</f>
        <v>0</v>
      </c>
      <c r="I19" s="23">
        <f>IF(SUM(G19:H19)=0,0,SUM(G19:H19)/'Sch A6-TOU Cust Fcst '!C19)</f>
        <v>0</v>
      </c>
      <c r="J19" s="11"/>
      <c r="K19" s="25">
        <f t="shared" si="2"/>
        <v>0</v>
      </c>
      <c r="L19" s="25">
        <f t="shared" si="3"/>
        <v>0</v>
      </c>
      <c r="M19" s="45">
        <f>IF(SUM(K19:L19)=0,0,SUM(K19:L19)/'Sch A6-TOU Cust Fcst '!D19)</f>
        <v>0</v>
      </c>
    </row>
    <row r="20" spans="1:13">
      <c r="A20" s="21" t="s">
        <v>123</v>
      </c>
      <c r="B20" s="21"/>
      <c r="C20" s="23">
        <f>'Sch A6-TOU Cust Fcst '!$B20*'Non-Residential TSM UC Adj'!S21</f>
        <v>0</v>
      </c>
      <c r="D20" s="23">
        <f>'Sch A6-TOU Cust Fcst '!$B20*'Non-Residential TSM UC Adj'!T21</f>
        <v>0</v>
      </c>
      <c r="E20" s="45">
        <f>IF(SUM(C20:D20)=0,0,SUM(C20:D20)/'Sch A6-TOU Cust Fcst '!B20)</f>
        <v>0</v>
      </c>
      <c r="F20" s="21"/>
      <c r="G20" s="74">
        <f>'Sch A6-TOU Cust Fcst '!$C20*'Non-Residential TSM UC Adj'!W21</f>
        <v>0</v>
      </c>
      <c r="H20" s="74">
        <f>'Sch A6-TOU Cust Fcst '!$C20*'Non-Residential TSM UC Adj'!X21</f>
        <v>0</v>
      </c>
      <c r="I20" s="23">
        <f>IF(SUM(G20:H20)=0,0,SUM(G20:H20)/'Sch A6-TOU Cust Fcst '!C20)</f>
        <v>0</v>
      </c>
      <c r="J20" s="11"/>
      <c r="K20" s="25">
        <f t="shared" si="2"/>
        <v>0</v>
      </c>
      <c r="L20" s="25">
        <f t="shared" si="3"/>
        <v>0</v>
      </c>
      <c r="M20" s="45">
        <f>IF(SUM(K20:L20)=0,0,SUM(K20:L20)/'Sch A6-TOU Cust Fcst '!D20)</f>
        <v>0</v>
      </c>
    </row>
    <row r="21" spans="1:13">
      <c r="A21" s="21" t="s">
        <v>14</v>
      </c>
      <c r="B21" s="21"/>
      <c r="C21" s="23">
        <f>'Sch A6-TOU Cust Fcst '!$B21*'Non-Residential TSM UC Adj'!S22</f>
        <v>0</v>
      </c>
      <c r="D21" s="23">
        <f>'Sch A6-TOU Cust Fcst '!$B21*'Non-Residential TSM UC Adj'!T22</f>
        <v>0</v>
      </c>
      <c r="E21" s="45">
        <f>IF(SUM(C21:D21)=0,0,SUM(C21:D21)/'Sch A6-TOU Cust Fcst '!B21)</f>
        <v>0</v>
      </c>
      <c r="F21" s="21"/>
      <c r="G21" s="74">
        <f>'Sch A6-TOU Cust Fcst '!$C21*'Non-Residential TSM UC Adj'!W22</f>
        <v>0</v>
      </c>
      <c r="H21" s="74">
        <f>'Sch A6-TOU Cust Fcst '!$C21*'Non-Residential TSM UC Adj'!X22</f>
        <v>0</v>
      </c>
      <c r="I21" s="23">
        <f>IF(SUM(G21:H21)=0,0,SUM(G21:H21)/'Sch A6-TOU Cust Fcst '!C21)</f>
        <v>0</v>
      </c>
      <c r="J21" s="11"/>
      <c r="K21" s="25">
        <f t="shared" si="2"/>
        <v>0</v>
      </c>
      <c r="L21" s="25">
        <f t="shared" si="3"/>
        <v>0</v>
      </c>
      <c r="M21" s="45">
        <f>IF(SUM(K21:L21)=0,0,SUM(K21:L21)/'Sch A6-TOU Cust Fcst '!D21)</f>
        <v>0</v>
      </c>
    </row>
    <row r="22" spans="1:13">
      <c r="A22" s="21" t="s">
        <v>15</v>
      </c>
      <c r="B22" s="21"/>
      <c r="C22" s="23">
        <f>'Sch A6-TOU Cust Fcst '!$B22*'Non-Residential TSM UC Adj'!S23</f>
        <v>3129.9273129422195</v>
      </c>
      <c r="D22" s="23">
        <f>'Sch A6-TOU Cust Fcst '!$B22*'Non-Residential TSM UC Adj'!T23</f>
        <v>967.82163835260417</v>
      </c>
      <c r="E22" s="45">
        <f>IF(SUM(C22:D22)=0,0,SUM(C22:D22)/'Sch A6-TOU Cust Fcst '!B22)</f>
        <v>4097.7489512948232</v>
      </c>
      <c r="F22" s="21"/>
      <c r="G22" s="74">
        <f>'Sch A6-TOU Cust Fcst '!$C22*'Non-Residential TSM UC Adj'!W23</f>
        <v>0</v>
      </c>
      <c r="H22" s="74">
        <f>'Sch A6-TOU Cust Fcst '!$C22*'Non-Residential TSM UC Adj'!X23</f>
        <v>0</v>
      </c>
      <c r="I22" s="23">
        <f>IF(SUM(G22:H22)=0,0,SUM(G22:H22)/'Sch A6-TOU Cust Fcst '!C22)</f>
        <v>0</v>
      </c>
      <c r="J22" s="11"/>
      <c r="K22" s="25">
        <f t="shared" si="2"/>
        <v>3129.9273129422195</v>
      </c>
      <c r="L22" s="25">
        <f t="shared" si="3"/>
        <v>967.82163835260417</v>
      </c>
      <c r="M22" s="45">
        <f>IF(SUM(K22:L22)=0,0,SUM(K22:L22)/'Sch A6-TOU Cust Fcst '!D22)</f>
        <v>4097.7489512948232</v>
      </c>
    </row>
    <row r="23" spans="1:13">
      <c r="A23" s="21" t="s">
        <v>16</v>
      </c>
      <c r="B23" s="21"/>
      <c r="C23" s="23">
        <f>'Sch A6-TOU Cust Fcst '!$B23*'Non-Residential TSM UC Adj'!S24</f>
        <v>3129.9273129422195</v>
      </c>
      <c r="D23" s="23">
        <f>'Sch A6-TOU Cust Fcst '!$B23*'Non-Residential TSM UC Adj'!T24</f>
        <v>967.82163835260417</v>
      </c>
      <c r="E23" s="45">
        <f>IF(SUM(C23:D23)=0,0,SUM(C23:D23)/'Sch A6-TOU Cust Fcst '!B23)</f>
        <v>4097.7489512948232</v>
      </c>
      <c r="F23" s="21"/>
      <c r="G23" s="74">
        <f>'Sch A6-TOU Cust Fcst '!$C23*'Non-Residential TSM UC Adj'!W24</f>
        <v>0</v>
      </c>
      <c r="H23" s="74">
        <f>'Sch A6-TOU Cust Fcst '!$C23*'Non-Residential TSM UC Adj'!X24</f>
        <v>0</v>
      </c>
      <c r="I23" s="23">
        <f>IF(SUM(G23:H23)=0,0,SUM(G23:H23)/'Sch A6-TOU Cust Fcst '!C23)</f>
        <v>0</v>
      </c>
      <c r="J23" s="11"/>
      <c r="K23" s="25">
        <f t="shared" si="2"/>
        <v>3129.9273129422195</v>
      </c>
      <c r="L23" s="25">
        <f t="shared" si="3"/>
        <v>967.82163835260417</v>
      </c>
      <c r="M23" s="45">
        <f>IF(SUM(K23:L23)=0,0,SUM(K23:L23)/'Sch A6-TOU Cust Fcst '!D23)</f>
        <v>4097.7489512948232</v>
      </c>
    </row>
    <row r="24" spans="1:13">
      <c r="A24" s="21" t="s">
        <v>17</v>
      </c>
      <c r="B24" s="21"/>
      <c r="C24" s="23">
        <f>'Sch A6-TOU Cust Fcst '!$B24*'Non-Residential TSM UC Adj'!S25</f>
        <v>0</v>
      </c>
      <c r="D24" s="23">
        <f>'Sch A6-TOU Cust Fcst '!$B24*'Non-Residential TSM UC Adj'!T25</f>
        <v>0</v>
      </c>
      <c r="E24" s="45">
        <f>IF(SUM(C24:D24)=0,0,SUM(C24:D24)/'Sch A6-TOU Cust Fcst '!B24)</f>
        <v>0</v>
      </c>
      <c r="F24" s="21"/>
      <c r="G24" s="74">
        <f>'Sch A6-TOU Cust Fcst '!$C24*'Non-Residential TSM UC Adj'!W25</f>
        <v>0</v>
      </c>
      <c r="H24" s="74">
        <f>'Sch A6-TOU Cust Fcst '!$C24*'Non-Residential TSM UC Adj'!X25</f>
        <v>0</v>
      </c>
      <c r="I24" s="23">
        <f>IF(SUM(G24:H24)=0,0,SUM(G24:H24)/'Sch A6-TOU Cust Fcst '!C24)</f>
        <v>0</v>
      </c>
      <c r="J24" s="11"/>
      <c r="K24" s="25">
        <f t="shared" si="2"/>
        <v>0</v>
      </c>
      <c r="L24" s="25">
        <f t="shared" si="3"/>
        <v>0</v>
      </c>
      <c r="M24" s="45">
        <f>IF(SUM(K24:L24)=0,0,SUM(K24:L24)/'Sch A6-TOU Cust Fcst '!D24)</f>
        <v>0</v>
      </c>
    </row>
    <row r="25" spans="1:13">
      <c r="A25" s="21" t="s">
        <v>18</v>
      </c>
      <c r="B25" s="21"/>
      <c r="C25" s="23">
        <f>'Sch A6-TOU Cust Fcst '!$B25*'Non-Residential TSM UC Adj'!S26</f>
        <v>3129.9273129422195</v>
      </c>
      <c r="D25" s="23">
        <f>'Sch A6-TOU Cust Fcst '!$B25*'Non-Residential TSM UC Adj'!T26</f>
        <v>967.82163835260417</v>
      </c>
      <c r="E25" s="45">
        <f>IF(SUM(C25:D25)=0,0,SUM(C25:D25)/'Sch A6-TOU Cust Fcst '!B25)</f>
        <v>4097.7489512948232</v>
      </c>
      <c r="F25" s="21"/>
      <c r="G25" s="74">
        <f>'Sch A6-TOU Cust Fcst '!$C25*'Non-Residential TSM UC Adj'!W26</f>
        <v>117842.91781212797</v>
      </c>
      <c r="H25" s="74">
        <f>'Sch A6-TOU Cust Fcst '!$C25*'Non-Residential TSM UC Adj'!X26</f>
        <v>1935.6432767052083</v>
      </c>
      <c r="I25" s="23">
        <f>IF(SUM(G25:H25)=0,0,SUM(G25:H25)/'Sch A6-TOU Cust Fcst '!C25)</f>
        <v>59889.280544416586</v>
      </c>
      <c r="J25" s="11"/>
      <c r="K25" s="25">
        <f t="shared" si="2"/>
        <v>120972.84512507019</v>
      </c>
      <c r="L25" s="25">
        <f t="shared" si="3"/>
        <v>2903.4649150578125</v>
      </c>
      <c r="M25" s="45">
        <f>IF(SUM(K25:L25)=0,0,SUM(K25:L25)/'Sch A6-TOU Cust Fcst '!D25)</f>
        <v>41292.103346709337</v>
      </c>
    </row>
    <row r="26" spans="1:13">
      <c r="A26" s="21" t="s">
        <v>19</v>
      </c>
      <c r="B26" s="21"/>
      <c r="C26" s="23">
        <f>'Sch A6-TOU Cust Fcst '!$B26*'Non-Residential TSM UC Adj'!S27</f>
        <v>6259.854625884439</v>
      </c>
      <c r="D26" s="23">
        <f>'Sch A6-TOU Cust Fcst '!$B26*'Non-Residential TSM UC Adj'!T27</f>
        <v>1935.6432767052083</v>
      </c>
      <c r="E26" s="45">
        <f>IF(SUM(C26:D26)=0,0,SUM(C26:D26)/'Sch A6-TOU Cust Fcst '!B26)</f>
        <v>4097.7489512948232</v>
      </c>
      <c r="F26" s="21"/>
      <c r="G26" s="74">
        <f>'Sch A6-TOU Cust Fcst '!$C26*'Non-Residential TSM UC Adj'!W27</f>
        <v>58921.458906063985</v>
      </c>
      <c r="H26" s="74">
        <f>'Sch A6-TOU Cust Fcst '!$C26*'Non-Residential TSM UC Adj'!X27</f>
        <v>967.82163835260417</v>
      </c>
      <c r="I26" s="23">
        <f>IF(SUM(G26:H26)=0,0,SUM(G26:H26)/'Sch A6-TOU Cust Fcst '!C26)</f>
        <v>59889.280544416586</v>
      </c>
      <c r="J26" s="11"/>
      <c r="K26" s="25">
        <f t="shared" si="2"/>
        <v>65181.313531948421</v>
      </c>
      <c r="L26" s="25">
        <f t="shared" si="3"/>
        <v>2903.4649150578125</v>
      </c>
      <c r="M26" s="45">
        <f>IF(SUM(K26:L26)=0,0,SUM(K26:L26)/'Sch A6-TOU Cust Fcst '!D26)</f>
        <v>22694.926149002076</v>
      </c>
    </row>
    <row r="27" spans="1:13">
      <c r="A27" s="21" t="s">
        <v>20</v>
      </c>
      <c r="B27" s="21"/>
      <c r="C27" s="23">
        <f>'Sch A6-TOU Cust Fcst '!$B27*'Non-Residential TSM UC Adj'!S28</f>
        <v>3129.9273129422195</v>
      </c>
      <c r="D27" s="23">
        <f>'Sch A6-TOU Cust Fcst '!$B27*'Non-Residential TSM UC Adj'!T28</f>
        <v>967.82163835260417</v>
      </c>
      <c r="E27" s="45">
        <f>IF(SUM(C27:D27)=0,0,SUM(C27:D27)/'Sch A6-TOU Cust Fcst '!B27)</f>
        <v>4097.7489512948232</v>
      </c>
      <c r="F27" s="21"/>
      <c r="G27" s="74">
        <f>'Sch A6-TOU Cust Fcst '!$C27*'Non-Residential TSM UC Adj'!W28</f>
        <v>0</v>
      </c>
      <c r="H27" s="74">
        <f>'Sch A6-TOU Cust Fcst '!$C27*'Non-Residential TSM UC Adj'!X28</f>
        <v>0</v>
      </c>
      <c r="I27" s="23">
        <f>IF(SUM(G27:H27)=0,0,SUM(G27:H27)/'Sch A6-TOU Cust Fcst '!C27)</f>
        <v>0</v>
      </c>
      <c r="J27" s="11"/>
      <c r="K27" s="25">
        <f t="shared" si="2"/>
        <v>3129.9273129422195</v>
      </c>
      <c r="L27" s="25">
        <f t="shared" si="3"/>
        <v>967.82163835260417</v>
      </c>
      <c r="M27" s="45">
        <f>IF(SUM(K27:L27)=0,0,SUM(K27:L27)/'Sch A6-TOU Cust Fcst '!D27)</f>
        <v>4097.7489512948232</v>
      </c>
    </row>
    <row r="28" spans="1:13">
      <c r="A28" s="21" t="s">
        <v>21</v>
      </c>
      <c r="B28" s="21"/>
      <c r="C28" s="23">
        <f>'Sch A6-TOU Cust Fcst '!$B28*'Non-Residential TSM UC Adj'!S29</f>
        <v>3129.9273129422195</v>
      </c>
      <c r="D28" s="23">
        <f>'Sch A6-TOU Cust Fcst '!$B28*'Non-Residential TSM UC Adj'!T29</f>
        <v>967.82163835260417</v>
      </c>
      <c r="E28" s="45">
        <f>IF(SUM(C28:D28)=0,0,SUM(C28:D28)/'Sch A6-TOU Cust Fcst '!B28)</f>
        <v>4097.7489512948232</v>
      </c>
      <c r="F28" s="21"/>
      <c r="G28" s="74">
        <f>'Sch A6-TOU Cust Fcst '!$C28*'Non-Residential TSM UC Adj'!W29</f>
        <v>0</v>
      </c>
      <c r="H28" s="74">
        <f>'Sch A6-TOU Cust Fcst '!$C28*'Non-Residential TSM UC Adj'!X29</f>
        <v>0</v>
      </c>
      <c r="I28" s="23">
        <f>IF(SUM(G28:H28)=0,0,SUM(G28:H28)/'Sch A6-TOU Cust Fcst '!C28)</f>
        <v>0</v>
      </c>
      <c r="J28" s="11"/>
      <c r="K28" s="25">
        <f t="shared" si="2"/>
        <v>3129.9273129422195</v>
      </c>
      <c r="L28" s="25">
        <f t="shared" si="3"/>
        <v>967.82163835260417</v>
      </c>
      <c r="M28" s="45">
        <f>IF(SUM(K28:L28)=0,0,SUM(K28:L28)/'Sch A6-TOU Cust Fcst '!D28)</f>
        <v>4097.7489512948232</v>
      </c>
    </row>
    <row r="29" spans="1:13">
      <c r="A29" s="21" t="s">
        <v>22</v>
      </c>
      <c r="B29" s="21"/>
      <c r="C29" s="23">
        <f>'Sch A6-TOU Cust Fcst '!$B29*'Non-Residential TSM UC Adj'!S30</f>
        <v>6259.854625884439</v>
      </c>
      <c r="D29" s="23">
        <f>'Sch A6-TOU Cust Fcst '!$B29*'Non-Residential TSM UC Adj'!T30</f>
        <v>1935.6432767052083</v>
      </c>
      <c r="E29" s="45">
        <f>IF(SUM(C29:D29)=0,0,SUM(C29:D29)/'Sch A6-TOU Cust Fcst '!B29)</f>
        <v>4097.7489512948232</v>
      </c>
      <c r="F29" s="21"/>
      <c r="G29" s="74">
        <f>'Sch A6-TOU Cust Fcst '!$C29*'Non-Residential TSM UC Adj'!W30</f>
        <v>0</v>
      </c>
      <c r="H29" s="74">
        <f>'Sch A6-TOU Cust Fcst '!$C29*'Non-Residential TSM UC Adj'!X30</f>
        <v>0</v>
      </c>
      <c r="I29" s="23">
        <f>IF(SUM(G29:H29)=0,0,SUM(G29:H29)/'Sch A6-TOU Cust Fcst '!C29)</f>
        <v>0</v>
      </c>
      <c r="J29" s="11"/>
      <c r="K29" s="25">
        <f t="shared" si="2"/>
        <v>6259.854625884439</v>
      </c>
      <c r="L29" s="25">
        <f t="shared" si="3"/>
        <v>1935.6432767052083</v>
      </c>
      <c r="M29" s="45">
        <f>IF(SUM(K29:L29)=0,0,SUM(K29:L29)/'Sch A6-TOU Cust Fcst '!D29)</f>
        <v>4097.7489512948232</v>
      </c>
    </row>
    <row r="30" spans="1:13">
      <c r="A30" s="21" t="s">
        <v>23</v>
      </c>
      <c r="B30" s="21"/>
      <c r="C30" s="23">
        <f>'Sch A6-TOU Cust Fcst '!$B30*'Non-Residential TSM UC Adj'!S31</f>
        <v>0</v>
      </c>
      <c r="D30" s="23">
        <f>'Sch A6-TOU Cust Fcst '!$B30*'Non-Residential TSM UC Adj'!T31</f>
        <v>0</v>
      </c>
      <c r="E30" s="45">
        <f>IF(SUM(C30:D30)=0,0,SUM(C30:D30)/'Sch A6-TOU Cust Fcst '!B30)</f>
        <v>0</v>
      </c>
      <c r="F30" s="21"/>
      <c r="G30" s="74">
        <f>'Sch A6-TOU Cust Fcst '!$C30*'Non-Residential TSM UC Adj'!W31</f>
        <v>0</v>
      </c>
      <c r="H30" s="74">
        <f>'Sch A6-TOU Cust Fcst '!$C30*'Non-Residential TSM UC Adj'!X31</f>
        <v>0</v>
      </c>
      <c r="I30" s="23">
        <f>IF(SUM(G30:H30)=0,0,SUM(G30:H30)/'Sch A6-TOU Cust Fcst '!C30)</f>
        <v>0</v>
      </c>
      <c r="J30" s="11"/>
      <c r="K30" s="25">
        <f t="shared" si="2"/>
        <v>0</v>
      </c>
      <c r="L30" s="25">
        <f t="shared" si="3"/>
        <v>0</v>
      </c>
      <c r="M30" s="45">
        <f>IF(SUM(K30:L30)=0,0,SUM(K30:L30)/'Sch A6-TOU Cust Fcst '!D30)</f>
        <v>0</v>
      </c>
    </row>
    <row r="31" spans="1:13">
      <c r="A31" s="21" t="s">
        <v>24</v>
      </c>
      <c r="B31" s="21"/>
      <c r="C31" s="23">
        <f>'Sch A6-TOU Cust Fcst '!$B31*'Non-Residential TSM UC Adj'!S32</f>
        <v>0</v>
      </c>
      <c r="D31" s="23">
        <f>'Sch A6-TOU Cust Fcst '!$B31*'Non-Residential TSM UC Adj'!T32</f>
        <v>0</v>
      </c>
      <c r="E31" s="45">
        <f>IF(SUM(C31:D31)=0,0,SUM(C31:D31)/'Sch A6-TOU Cust Fcst '!B31)</f>
        <v>0</v>
      </c>
      <c r="F31" s="21"/>
      <c r="G31" s="74">
        <f>'Sch A6-TOU Cust Fcst '!$C31*'Non-Residential TSM UC Adj'!W32</f>
        <v>0</v>
      </c>
      <c r="H31" s="74">
        <f>'Sch A6-TOU Cust Fcst '!$C31*'Non-Residential TSM UC Adj'!X32</f>
        <v>0</v>
      </c>
      <c r="I31" s="23">
        <f>IF(SUM(G31:H31)=0,0,SUM(G31:H31)/'Sch A6-TOU Cust Fcst '!C31)</f>
        <v>0</v>
      </c>
      <c r="J31" s="11"/>
      <c r="K31" s="25">
        <f t="shared" si="2"/>
        <v>0</v>
      </c>
      <c r="L31" s="25">
        <f t="shared" si="3"/>
        <v>0</v>
      </c>
      <c r="M31" s="45">
        <f>IF(SUM(K31:L31)=0,0,SUM(K31:L31)/'Sch A6-TOU Cust Fcst '!D31)</f>
        <v>0</v>
      </c>
    </row>
    <row r="32" spans="1:13">
      <c r="A32" s="21" t="s">
        <v>25</v>
      </c>
      <c r="B32" s="21"/>
      <c r="C32" s="23">
        <f>'Sch A6-TOU Cust Fcst '!$B32*'Non-Residential TSM UC Adj'!S33</f>
        <v>15545.857171199868</v>
      </c>
      <c r="D32" s="23">
        <f>'Sch A6-TOU Cust Fcst '!$B32*'Non-Residential TSM UC Adj'!T33</f>
        <v>1935.6432767052083</v>
      </c>
      <c r="E32" s="45">
        <f>IF(SUM(C32:D32)=0,0,SUM(C32:D32)/'Sch A6-TOU Cust Fcst '!B32)</f>
        <v>8740.7502239525384</v>
      </c>
      <c r="F32" s="21"/>
      <c r="G32" s="74">
        <f>'Sch A6-TOU Cust Fcst '!$C32*'Non-Residential TSM UC Adj'!W33</f>
        <v>0</v>
      </c>
      <c r="H32" s="74">
        <f>'Sch A6-TOU Cust Fcst '!$C32*'Non-Residential TSM UC Adj'!X33</f>
        <v>0</v>
      </c>
      <c r="I32" s="23">
        <f>IF(SUM(G32:H32)=0,0,SUM(G32:H32)/'Sch A6-TOU Cust Fcst '!C32)</f>
        <v>0</v>
      </c>
      <c r="J32" s="11"/>
      <c r="K32" s="25">
        <f t="shared" si="2"/>
        <v>15545.857171199868</v>
      </c>
      <c r="L32" s="25">
        <f t="shared" si="3"/>
        <v>1935.6432767052083</v>
      </c>
      <c r="M32" s="45">
        <f>IF(SUM(K32:L32)=0,0,SUM(K32:L32)/'Sch A6-TOU Cust Fcst '!D32)</f>
        <v>8740.7502239525384</v>
      </c>
    </row>
    <row r="33" spans="1:14">
      <c r="A33" s="22" t="s">
        <v>125</v>
      </c>
      <c r="B33" s="22"/>
      <c r="C33" s="23">
        <f>'Sch A6-TOU Cust Fcst '!$B33*'Non-Residential TSM UC Adj'!S34</f>
        <v>15545.857171199868</v>
      </c>
      <c r="D33" s="23">
        <f>'Sch A6-TOU Cust Fcst '!$B33*'Non-Residential TSM UC Adj'!T34</f>
        <v>1935.6432767052083</v>
      </c>
      <c r="E33" s="45">
        <f>IF(SUM(C33:D33)=0,0,SUM(C33:D33)/'Sch A6-TOU Cust Fcst '!B33)</f>
        <v>8740.7502239525384</v>
      </c>
      <c r="F33" s="22"/>
      <c r="G33" s="74">
        <f>'Sch A6-TOU Cust Fcst '!$C33*'Non-Residential TSM UC Adj'!W34</f>
        <v>146326.81415392709</v>
      </c>
      <c r="H33" s="74">
        <f>'Sch A6-TOU Cust Fcst '!$C33*'Non-Residential TSM UC Adj'!X34</f>
        <v>967.82163835260417</v>
      </c>
      <c r="I33" s="23">
        <f>IF(SUM(G33:H33)=0,0,SUM(G33:H33)/'Sch A6-TOU Cust Fcst '!C33)</f>
        <v>147294.6357922797</v>
      </c>
      <c r="J33" s="11"/>
      <c r="K33" s="25">
        <f t="shared" si="2"/>
        <v>161872.67132512695</v>
      </c>
      <c r="L33" s="25">
        <f t="shared" si="3"/>
        <v>2903.4649150578125</v>
      </c>
      <c r="M33" s="45">
        <f>IF(SUM(K33:L33)=0,0,SUM(K33:L33)/'Sch A6-TOU Cust Fcst '!D33)</f>
        <v>54925.37874672826</v>
      </c>
    </row>
    <row r="34" spans="1:14">
      <c r="A34" s="21" t="s">
        <v>126</v>
      </c>
      <c r="B34" s="21"/>
      <c r="C34" s="23">
        <f>'Sch A6-TOU Cust Fcst '!$B34*'Non-Residential TSM UC Adj'!S35</f>
        <v>0</v>
      </c>
      <c r="D34" s="23">
        <f>'Sch A6-TOU Cust Fcst '!$B34*'Non-Residential TSM UC Adj'!T35</f>
        <v>0</v>
      </c>
      <c r="E34" s="45">
        <f>IF(SUM(C34:D34)=0,0,SUM(C34:D34)/'Sch A6-TOU Cust Fcst '!B34)</f>
        <v>0</v>
      </c>
      <c r="F34" s="21"/>
      <c r="G34" s="74">
        <f>'Sch A6-TOU Cust Fcst '!$C34*'Non-Residential TSM UC Adj'!W35</f>
        <v>146326.81415392709</v>
      </c>
      <c r="H34" s="74">
        <f>'Sch A6-TOU Cust Fcst '!$C34*'Non-Residential TSM UC Adj'!X35</f>
        <v>967.82163835260417</v>
      </c>
      <c r="I34" s="23">
        <f>IF(SUM(G34:H34)=0,0,SUM(G34:H34)/'Sch A6-TOU Cust Fcst '!C34)</f>
        <v>147294.6357922797</v>
      </c>
      <c r="J34" s="11"/>
      <c r="K34" s="25">
        <f t="shared" si="2"/>
        <v>146326.81415392709</v>
      </c>
      <c r="L34" s="25">
        <f t="shared" si="3"/>
        <v>967.82163835260417</v>
      </c>
      <c r="M34" s="45">
        <f>IF(SUM(K34:L34)=0,0,SUM(K34:L34)/'Sch A6-TOU Cust Fcst '!D34)</f>
        <v>147294.6357922797</v>
      </c>
    </row>
    <row r="35" spans="1:14">
      <c r="A35" s="21" t="s">
        <v>26</v>
      </c>
      <c r="B35" s="21"/>
      <c r="C35" s="23">
        <f>'Sch A6-TOU Cust Fcst '!$B35*'Non-Residential TSM UC Adj'!S36</f>
        <v>0</v>
      </c>
      <c r="D35" s="23">
        <f>'Sch A6-TOU Cust Fcst '!$B35*'Non-Residential TSM UC Adj'!T36</f>
        <v>0</v>
      </c>
      <c r="E35" s="45">
        <f>IF(SUM(C35:D35)=0,0,SUM(C35:D35)/'Sch A6-TOU Cust Fcst '!B35)</f>
        <v>0</v>
      </c>
      <c r="F35" s="21"/>
      <c r="G35" s="74">
        <f>'Sch A6-TOU Cust Fcst '!$C35*'Non-Residential TSM UC Adj'!W36</f>
        <v>146326.81415392709</v>
      </c>
      <c r="H35" s="74">
        <f>'Sch A6-TOU Cust Fcst '!$C35*'Non-Residential TSM UC Adj'!X36</f>
        <v>967.82163835260417</v>
      </c>
      <c r="I35" s="23">
        <f>IF(SUM(G35:H35)=0,0,SUM(G35:H35)/'Sch A6-TOU Cust Fcst '!C35)</f>
        <v>147294.6357922797</v>
      </c>
      <c r="J35" s="11"/>
      <c r="K35" s="25">
        <f t="shared" si="2"/>
        <v>146326.81415392709</v>
      </c>
      <c r="L35" s="25">
        <f t="shared" si="3"/>
        <v>967.82163835260417</v>
      </c>
      <c r="M35" s="45">
        <f>IF(SUM(K35:L35)=0,0,SUM(K35:L35)/'Sch A6-TOU Cust Fcst '!D35)</f>
        <v>147294.6357922797</v>
      </c>
    </row>
    <row r="36" spans="1:14">
      <c r="A36" s="21" t="s">
        <v>27</v>
      </c>
      <c r="B36" s="21"/>
      <c r="C36" s="23">
        <f>'Sch A6-TOU Cust Fcst '!$B36*'Non-Residential TSM UC Adj'!S37</f>
        <v>0</v>
      </c>
      <c r="D36" s="23">
        <f>'Sch A6-TOU Cust Fcst '!$B36*'Non-Residential TSM UC Adj'!T37</f>
        <v>0</v>
      </c>
      <c r="E36" s="45">
        <f>IF(SUM(C36:D36)=0,0,SUM(C36:D36)/'Sch A6-TOU Cust Fcst '!B36)</f>
        <v>0</v>
      </c>
      <c r="F36" s="21"/>
      <c r="G36" s="74">
        <f>'Sch A6-TOU Cust Fcst '!$C36*'Non-Residential TSM UC Adj'!W37</f>
        <v>146326.81415392709</v>
      </c>
      <c r="H36" s="74">
        <f>'Sch A6-TOU Cust Fcst '!$C36*'Non-Residential TSM UC Adj'!X37</f>
        <v>967.82163835260417</v>
      </c>
      <c r="I36" s="23">
        <f>IF(SUM(G36:H36)=0,0,SUM(G36:H36)/'Sch A6-TOU Cust Fcst '!C36)</f>
        <v>147294.6357922797</v>
      </c>
      <c r="J36" s="11"/>
      <c r="K36" s="25">
        <f t="shared" si="2"/>
        <v>146326.81415392709</v>
      </c>
      <c r="L36" s="25">
        <f t="shared" si="3"/>
        <v>967.82163835260417</v>
      </c>
      <c r="M36" s="45">
        <f>IF(SUM(K36:L36)=0,0,SUM(K36:L36)/'Sch A6-TOU Cust Fcst '!D36)</f>
        <v>147294.6357922797</v>
      </c>
    </row>
    <row r="37" spans="1:14" ht="13.5" thickBot="1">
      <c r="A37" s="323"/>
      <c r="B37" s="21"/>
      <c r="C37" s="23"/>
      <c r="D37" s="23"/>
      <c r="E37" s="45"/>
      <c r="F37" s="323"/>
      <c r="G37" s="240"/>
      <c r="H37" s="240"/>
      <c r="I37" s="240"/>
      <c r="J37" s="11"/>
      <c r="K37" s="25"/>
      <c r="L37" s="25"/>
      <c r="M37" s="45"/>
    </row>
    <row r="38" spans="1:14" ht="13.5" thickBot="1">
      <c r="A38" s="280" t="s">
        <v>2</v>
      </c>
      <c r="B38" s="280"/>
      <c r="C38" s="318">
        <f>IF(SUM(C$6:C$36)=0,0,SUM(C$6:C$36)/'Sch A6-TOU Cust Fcst '!$B38)</f>
        <v>4558.5430891445931</v>
      </c>
      <c r="D38" s="318">
        <f>IF(SUM(D$6:D$36)=0,0,SUM(D$6:D$36)/'Sch A6-TOU Cust Fcst '!$B38)</f>
        <v>967.82163835260428</v>
      </c>
      <c r="E38" s="319">
        <f>SUM(C38:D38)</f>
        <v>5526.3647274971972</v>
      </c>
      <c r="F38" s="280"/>
      <c r="G38" s="318">
        <f>IF(SUM(G$6:G$36)=0,0,SUM(G$6:G$36)/'Sch A6-TOU Cust Fcst '!$C38)</f>
        <v>108867.37619055717</v>
      </c>
      <c r="H38" s="318">
        <f>IF(SUM(H$6:H$36)=0,0,SUM(H$6:H$36)/'Sch A6-TOU Cust Fcst '!$C38)</f>
        <v>967.82163835260417</v>
      </c>
      <c r="I38" s="319">
        <f>SUM(G38:H38)</f>
        <v>109835.19782890978</v>
      </c>
      <c r="J38" s="280"/>
      <c r="K38" s="318">
        <f>IF(SUM(K$6:K$36)=0,0,SUM(K$6:K$36)/'Sch A6-TOU Cust Fcst '!$D38)</f>
        <v>41066.634674639012</v>
      </c>
      <c r="L38" s="318">
        <f>IF(SUM(L$6:L$36)=0,0,SUM(L$6:L$36)/'Sch A6-TOU Cust Fcst '!$D38)</f>
        <v>967.8216383526044</v>
      </c>
      <c r="M38" s="319">
        <f>SUM(K38:L38)</f>
        <v>42034.456312991613</v>
      </c>
    </row>
    <row r="39" spans="1:14">
      <c r="A39" s="153" t="s">
        <v>185</v>
      </c>
      <c r="B39" s="21"/>
      <c r="C39" s="23">
        <f>IF(SUM(C$6:C$19)=0,0,SUM(C$6:C$19)/'Sch A6-TOU Cust Fcst '!$B39)</f>
        <v>0</v>
      </c>
      <c r="D39" s="23">
        <f>IF(SUM(D$6:D$19)=0,0,SUM(D$6:D$19)/'Sch A6-TOU Cust Fcst '!$B39)</f>
        <v>0</v>
      </c>
      <c r="E39" s="45">
        <f>SUM(C39:D39)</f>
        <v>0</v>
      </c>
      <c r="F39" s="21"/>
      <c r="G39" s="23">
        <f>IF(SUM(G$6:G$19)=0,0,SUM(G$6:G$19)/'Sch A6-TOU Cust Fcst '!$C39)</f>
        <v>0</v>
      </c>
      <c r="H39" s="23">
        <f>IF(SUM(H$6:H$19)=0,0,SUM(H$6:H$19)/'Sch A6-TOU Cust Fcst '!$C39)</f>
        <v>0</v>
      </c>
      <c r="I39" s="45">
        <f>SUM(G39:H39)</f>
        <v>0</v>
      </c>
      <c r="J39" s="21"/>
      <c r="K39" s="23">
        <f>IF(SUM(K$6:K$19)=0,0,SUM(K$6:K$19)/'Sch A6-TOU Cust Fcst '!$D39)</f>
        <v>0</v>
      </c>
      <c r="L39" s="23">
        <f>IF(SUM(L$6:L$19)=0,0,SUM(L$6:L$19)/'Sch A6-TOU Cust Fcst '!$D39)</f>
        <v>0</v>
      </c>
      <c r="M39" s="45">
        <f>SUM(K39:L39)</f>
        <v>0</v>
      </c>
    </row>
    <row r="40" spans="1:14" s="58" customFormat="1">
      <c r="A40" s="153" t="s">
        <v>139</v>
      </c>
      <c r="B40" s="132"/>
      <c r="C40" s="23">
        <f>IF(SUM(C$20:C$33)=0,0,SUM(C$20:C$33)/'Sch A6-TOU Cust Fcst '!$B40)</f>
        <v>4558.5430891445931</v>
      </c>
      <c r="D40" s="23">
        <f>IF(SUM(D$20:D$33)=0,0,SUM(D$20:D$33)/'Sch A6-TOU Cust Fcst '!$B40)</f>
        <v>967.82163835260428</v>
      </c>
      <c r="E40" s="45">
        <f>SUM(C40:D40)</f>
        <v>5526.3647274971972</v>
      </c>
      <c r="F40" s="132"/>
      <c r="G40" s="23">
        <f>IF(SUM(G$20:G$33)=0,0,SUM(G$20:G$33)/'Sch A6-TOU Cust Fcst '!C40)</f>
        <v>80772.79771802976</v>
      </c>
      <c r="H40" s="23">
        <f>IF(SUM(H$20:H$33)=0,0,SUM(H$20:H$33)/'Sch A6-TOU Cust Fcst '!$C40)</f>
        <v>967.82163835260417</v>
      </c>
      <c r="I40" s="45">
        <f>SUM(G40:H40)</f>
        <v>81740.619356382362</v>
      </c>
      <c r="J40" s="132"/>
      <c r="K40" s="23">
        <f>IF(SUM(K$20:K$33)=0,0,SUM(K$20:K$33)/'Sch A6-TOU Cust Fcst '!D40)</f>
        <v>22491.308884176397</v>
      </c>
      <c r="L40" s="23">
        <f>IF(SUM(L$20:L$33)=0,0,SUM(L$20:L$33)/'Sch A6-TOU Cust Fcst '!$D40)</f>
        <v>967.82163835260417</v>
      </c>
      <c r="M40" s="45">
        <f>SUM(K40:L40)</f>
        <v>23459.130522529002</v>
      </c>
      <c r="N40" s="57"/>
    </row>
    <row r="41" spans="1:14" s="58" customFormat="1" ht="13.5" thickBot="1">
      <c r="A41" s="321" t="s">
        <v>100</v>
      </c>
      <c r="B41" s="286"/>
      <c r="C41" s="240">
        <f>IF(SUM(C$34:C$36)=0,0,SUM(C$34:C$36)/'Sch A6-TOU Cust Fcst '!$B41)</f>
        <v>0</v>
      </c>
      <c r="D41" s="240">
        <f>IF(SUM(D$34:D$36)=0,0,SUM(D$34:D$36)/'Sch A6-TOU Cust Fcst '!$B41)</f>
        <v>0</v>
      </c>
      <c r="E41" s="249">
        <f>SUM(C41:D41)</f>
        <v>0</v>
      </c>
      <c r="F41" s="286"/>
      <c r="G41" s="240">
        <f>IF(SUM(G$34:G$36)=0,0,SUM(G$34:G$36)/'Sch A6-TOU Cust Fcst '!$C41)</f>
        <v>146326.81415392709</v>
      </c>
      <c r="H41" s="240">
        <f>IF(SUM(H$34:H$36)=0,0,SUM(H$34:H$36)/'Sch A6-TOU Cust Fcst '!$C41)</f>
        <v>967.82163835260417</v>
      </c>
      <c r="I41" s="249">
        <f>SUM(G41:H41)</f>
        <v>147294.6357922797</v>
      </c>
      <c r="J41" s="286"/>
      <c r="K41" s="240">
        <f>IF(SUM(K$34:K$36)=0,0,SUM(K$34:K$36)/'Sch A6-TOU Cust Fcst '!$D41)</f>
        <v>146326.81415392709</v>
      </c>
      <c r="L41" s="240">
        <f>IF(SUM(L$34:L$36)=0,0,SUM(L$34:L$36)/'Sch A6-TOU Cust Fcst '!$D41)</f>
        <v>967.82163835260417</v>
      </c>
      <c r="M41" s="249">
        <f>SUM(K41:L41)</f>
        <v>147294.6357922797</v>
      </c>
    </row>
    <row r="42" spans="1:14">
      <c r="C42" s="18"/>
      <c r="D42" s="18"/>
      <c r="E42" s="18"/>
      <c r="G42" s="18"/>
      <c r="H42" s="18"/>
      <c r="I42" s="18"/>
      <c r="K42" s="18"/>
      <c r="L42" s="18"/>
      <c r="M42" s="18"/>
    </row>
    <row r="43" spans="1:14">
      <c r="A43" s="340" t="s">
        <v>102</v>
      </c>
      <c r="C43" s="18"/>
      <c r="D43" s="18"/>
      <c r="E43" s="391">
        <f>IF(SUM(B6:D36)=0,0,SUM(B6:D36)/'Sch A6-TOU Cust Fcst '!B38)-E38</f>
        <v>0</v>
      </c>
      <c r="G43" s="18"/>
      <c r="H43" s="18"/>
      <c r="I43" s="391">
        <f>IF(SUM(F6:H36)=0,0,SUM(F6:H36)/'Sch A6-TOU Cust Fcst '!C38)-I38</f>
        <v>0</v>
      </c>
      <c r="K43" s="18"/>
      <c r="L43" s="18"/>
      <c r="M43" s="391">
        <f>IF(SUM(J6:L36)=0,0,SUM(J6:L36)/'Sch A6-TOU Cust Fcst '!D38)-M38</f>
        <v>0</v>
      </c>
    </row>
    <row r="44" spans="1:14">
      <c r="E44" s="391">
        <f>IF(SUM(B6:D19)=0,0,SUM(B6:D19)/'Sch A6-TOU Cust Fcst '!B39)-E39</f>
        <v>0</v>
      </c>
      <c r="I44" s="391">
        <f>IF(SUM(F6:H19)=0,0,SUM(F6:H19)/'Sch A6-TOU Cust Fcst '!C39)-I39</f>
        <v>0</v>
      </c>
      <c r="M44" s="391">
        <f>IF(SUM(J6:L19)=0,0,SUM(J6:L19)/'Sch A6-TOU Cust Fcst '!D39)-M39</f>
        <v>0</v>
      </c>
    </row>
    <row r="45" spans="1:14">
      <c r="E45" s="391">
        <f>IF(SUM(C20:D33)=0,0,SUM(C20:D33)/'Sch A6-TOU Cust Fcst '!B40)-E40</f>
        <v>0</v>
      </c>
      <c r="I45" s="391">
        <f>IF(SUM(G20:H33)=0,0,SUM(G20:H33)/'Sch A6-TOU Cust Fcst '!C40)-I40</f>
        <v>0</v>
      </c>
      <c r="M45" s="391">
        <f>IF(SUM(K20:L33)=0,0,SUM(K20:L33)/'Sch A6-TOU Cust Fcst '!D40)-M40</f>
        <v>0</v>
      </c>
    </row>
    <row r="46" spans="1:14">
      <c r="E46" s="391">
        <f>IF(SUM(C34:D36)=0,0,SUM(C34:D36)/'Sch A6-TOU Cust Fcst '!B41)-E41</f>
        <v>0</v>
      </c>
      <c r="I46" s="391">
        <f>IF(SUM(G34:H36)=0,0,SUM(G34:H36)/'Sch A6-TOU Cust Fcst '!C41)-I41</f>
        <v>0</v>
      </c>
      <c r="M46" s="391">
        <f>IF(SUM(K34:L36)=0,0,SUM(K34:L36)/'Sch A6-TOU Cust Fcst '!D41)-M41</f>
        <v>0</v>
      </c>
    </row>
    <row r="50" spans="1:2">
      <c r="A50" s="19"/>
      <c r="B50" s="19"/>
    </row>
    <row r="62" spans="1:2">
      <c r="A62" s="19"/>
      <c r="B62" s="19"/>
    </row>
  </sheetData>
  <mergeCells count="4">
    <mergeCell ref="A1:E1"/>
    <mergeCell ref="F2:I2"/>
    <mergeCell ref="B2:E2"/>
    <mergeCell ref="J2:M2"/>
  </mergeCells>
  <phoneticPr fontId="0" type="noConversion"/>
  <printOptions horizontalCentered="1"/>
  <pageMargins left="0.75" right="0.75" top="1" bottom="1" header="0.5" footer="0.5"/>
  <pageSetup scale="55" orientation="portrait" r:id="rId1"/>
  <headerFooter alignWithMargins="0">
    <oddFooter>&amp;L&amp;F
&amp;A&amp;R&amp;P of &amp;N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sheetPr codeName="Sheet53">
    <tabColor rgb="FFFFC000"/>
    <pageSetUpPr fitToPage="1"/>
  </sheetPr>
  <dimension ref="A1:M56"/>
  <sheetViews>
    <sheetView zoomScaleNormal="100" workbookViewId="0">
      <selection activeCell="A24" sqref="A24:A26"/>
    </sheetView>
  </sheetViews>
  <sheetFormatPr defaultRowHeight="12.75"/>
  <cols>
    <col min="1" max="1" width="40.7109375" customWidth="1"/>
    <col min="2" max="2" width="13.7109375" bestFit="1" customWidth="1"/>
    <col min="3" max="3" width="17.140625" bestFit="1" customWidth="1"/>
    <col min="4" max="4" width="8.85546875" style="12" bestFit="1" customWidth="1"/>
    <col min="5" max="5" width="14" style="12" bestFit="1" customWidth="1"/>
    <col min="6" max="6" width="15.140625" style="12" bestFit="1" customWidth="1"/>
    <col min="7" max="7" width="17" style="12" customWidth="1"/>
    <col min="8" max="8" width="16.85546875" style="12" bestFit="1" customWidth="1"/>
    <col min="9" max="9" width="16.5703125" style="12" bestFit="1" customWidth="1"/>
    <col min="10" max="10" width="15.42578125" bestFit="1" customWidth="1"/>
    <col min="11" max="11" width="16.5703125" customWidth="1"/>
    <col min="12" max="12" width="16.85546875" bestFit="1" customWidth="1"/>
    <col min="13" max="13" width="14.7109375" bestFit="1" customWidth="1"/>
  </cols>
  <sheetData>
    <row r="1" spans="1:13" ht="18.75" thickBot="1">
      <c r="A1" s="826" t="s">
        <v>181</v>
      </c>
      <c r="B1" s="826"/>
      <c r="C1" s="826"/>
      <c r="D1" s="826"/>
      <c r="E1" s="826"/>
      <c r="F1" s="826"/>
      <c r="G1" s="826"/>
      <c r="H1" s="826"/>
      <c r="I1" s="826"/>
      <c r="J1" s="826"/>
      <c r="K1" s="826"/>
      <c r="L1" s="826"/>
      <c r="M1" s="826"/>
    </row>
    <row r="2" spans="1:13" ht="13.5" thickBot="1">
      <c r="A2" s="131"/>
      <c r="B2" s="827" t="s">
        <v>1</v>
      </c>
      <c r="C2" s="828"/>
      <c r="D2" s="828"/>
      <c r="E2" s="829"/>
      <c r="F2" s="827" t="s">
        <v>99</v>
      </c>
      <c r="G2" s="828"/>
      <c r="H2" s="828"/>
      <c r="I2" s="829"/>
      <c r="J2" s="827" t="s">
        <v>141</v>
      </c>
      <c r="K2" s="828"/>
      <c r="L2" s="828"/>
      <c r="M2" s="829"/>
    </row>
    <row r="3" spans="1:13" ht="13.5" thickBot="1">
      <c r="A3" s="102" t="s">
        <v>47</v>
      </c>
      <c r="B3" s="402" t="s">
        <v>189</v>
      </c>
      <c r="C3" s="612" t="s">
        <v>139</v>
      </c>
      <c r="D3" s="612" t="s">
        <v>100</v>
      </c>
      <c r="E3" s="613" t="s">
        <v>168</v>
      </c>
      <c r="F3" s="402" t="s">
        <v>189</v>
      </c>
      <c r="G3" s="612" t="s">
        <v>139</v>
      </c>
      <c r="H3" s="612" t="s">
        <v>100</v>
      </c>
      <c r="I3" s="613" t="s">
        <v>198</v>
      </c>
      <c r="J3" s="402" t="s">
        <v>189</v>
      </c>
      <c r="K3" s="612" t="s">
        <v>139</v>
      </c>
      <c r="L3" s="612" t="s">
        <v>100</v>
      </c>
      <c r="M3" s="618" t="s">
        <v>2</v>
      </c>
    </row>
    <row r="4" spans="1:13">
      <c r="A4" s="516"/>
      <c r="B4" s="39"/>
      <c r="C4" s="6"/>
      <c r="D4" s="6"/>
      <c r="E4" s="7"/>
      <c r="F4" s="5"/>
      <c r="G4" s="6"/>
      <c r="H4" s="6"/>
      <c r="I4" s="7"/>
      <c r="J4" s="5"/>
      <c r="K4" s="6"/>
      <c r="L4" s="6"/>
      <c r="M4" s="7"/>
    </row>
    <row r="5" spans="1:13">
      <c r="A5" s="145"/>
      <c r="B5" s="40"/>
      <c r="C5" s="8"/>
      <c r="D5" s="8"/>
      <c r="E5" s="9"/>
      <c r="F5" s="132"/>
      <c r="G5" s="8"/>
      <c r="H5" s="8"/>
      <c r="I5" s="9"/>
      <c r="J5" s="132"/>
      <c r="K5" s="8"/>
      <c r="L5" s="8"/>
      <c r="M5" s="9"/>
    </row>
    <row r="6" spans="1:13">
      <c r="A6" s="145" t="s">
        <v>49</v>
      </c>
      <c r="B6" s="40"/>
      <c r="C6" s="34"/>
      <c r="D6" s="34"/>
      <c r="E6" s="44"/>
      <c r="F6" s="142"/>
      <c r="G6" s="34"/>
      <c r="H6" s="34"/>
      <c r="I6" s="44"/>
      <c r="J6" s="142"/>
      <c r="K6" s="34"/>
      <c r="L6" s="34"/>
      <c r="M6" s="44"/>
    </row>
    <row r="7" spans="1:13">
      <c r="A7" s="517"/>
      <c r="B7" s="41"/>
      <c r="C7" s="34"/>
      <c r="D7" s="34"/>
      <c r="E7" s="44"/>
      <c r="F7" s="142"/>
      <c r="G7" s="34"/>
      <c r="H7" s="34"/>
      <c r="I7" s="44"/>
      <c r="J7" s="142"/>
      <c r="K7" s="34"/>
      <c r="L7" s="34"/>
      <c r="M7" s="44"/>
    </row>
    <row r="8" spans="1:13">
      <c r="A8" s="145" t="s">
        <v>53</v>
      </c>
      <c r="B8" s="143"/>
      <c r="C8" s="163">
        <f>'Sch A6-TOU TSM'!B40</f>
        <v>0</v>
      </c>
      <c r="D8" s="163"/>
      <c r="E8" s="49">
        <f>'Sch A6-TOU TSM'!B38</f>
        <v>0</v>
      </c>
      <c r="F8" s="143"/>
      <c r="G8" s="163">
        <f>'Sch A6-TOU TSM'!F40</f>
        <v>0</v>
      </c>
      <c r="H8" s="163">
        <f>'Sch A6-TOU TSM'!F41</f>
        <v>0</v>
      </c>
      <c r="I8" s="49">
        <f>'Sch A6-TOU TSM'!F38</f>
        <v>0</v>
      </c>
      <c r="J8" s="143"/>
      <c r="K8" s="163">
        <f>'Sch A6-TOU TSM'!J40</f>
        <v>0</v>
      </c>
      <c r="L8" s="163">
        <f>'Sch A6-TOU TSM'!J41</f>
        <v>0</v>
      </c>
      <c r="M8" s="49">
        <f>'Sch A6-TOU TSM'!J38</f>
        <v>0</v>
      </c>
    </row>
    <row r="9" spans="1:13">
      <c r="A9" s="145" t="s">
        <v>51</v>
      </c>
      <c r="B9" s="143"/>
      <c r="C9" s="163">
        <f>'Sch A6-TOU TSM'!C40</f>
        <v>4558.5430891445931</v>
      </c>
      <c r="D9" s="163"/>
      <c r="E9" s="49">
        <f>'Sch A6-TOU TSM'!C38</f>
        <v>4558.5430891445931</v>
      </c>
      <c r="F9" s="143"/>
      <c r="G9" s="163">
        <f>'Sch A6-TOU TSM'!G40</f>
        <v>80772.79771802976</v>
      </c>
      <c r="H9" s="163">
        <f>'Sch A6-TOU TSM'!G41</f>
        <v>146326.81415392709</v>
      </c>
      <c r="I9" s="49">
        <f>'Sch A6-TOU TSM'!G38</f>
        <v>108867.37619055717</v>
      </c>
      <c r="J9" s="143"/>
      <c r="K9" s="163">
        <f>'Sch A6-TOU TSM'!K40</f>
        <v>22491.308884176397</v>
      </c>
      <c r="L9" s="163">
        <f>'Sch A6-TOU TSM'!K41</f>
        <v>146326.81415392709</v>
      </c>
      <c r="M9" s="49">
        <f>'Sch A6-TOU TSM'!K38</f>
        <v>41066.634674639012</v>
      </c>
    </row>
    <row r="10" spans="1:13">
      <c r="A10" s="145" t="s">
        <v>52</v>
      </c>
      <c r="B10" s="143"/>
      <c r="C10" s="163">
        <f>'Sch A6-TOU TSM'!D40</f>
        <v>967.82163835260428</v>
      </c>
      <c r="D10" s="163"/>
      <c r="E10" s="49">
        <f>'Sch A6-TOU TSM'!D38</f>
        <v>967.82163835260428</v>
      </c>
      <c r="F10" s="143"/>
      <c r="G10" s="163">
        <f>'Sch A6-TOU TSM'!H40</f>
        <v>967.82163835260417</v>
      </c>
      <c r="H10" s="163">
        <f>'Sch A6-TOU TSM'!H41</f>
        <v>967.82163835260417</v>
      </c>
      <c r="I10" s="49">
        <f>'Sch A6-TOU TSM'!H38</f>
        <v>967.82163835260417</v>
      </c>
      <c r="J10" s="143"/>
      <c r="K10" s="163">
        <f>'Sch A6-TOU TSM'!L40</f>
        <v>967.82163835260417</v>
      </c>
      <c r="L10" s="163">
        <f>'Sch A6-TOU TSM'!L41</f>
        <v>967.82163835260417</v>
      </c>
      <c r="M10" s="49">
        <f>'Sch A6-TOU TSM'!L38</f>
        <v>967.8216383526044</v>
      </c>
    </row>
    <row r="11" spans="1:13">
      <c r="A11" s="518"/>
      <c r="B11" s="142"/>
      <c r="C11" s="34"/>
      <c r="D11" s="34"/>
      <c r="E11" s="44"/>
      <c r="F11" s="142"/>
      <c r="G11" s="34"/>
      <c r="H11" s="34"/>
      <c r="I11" s="44"/>
      <c r="J11" s="142"/>
      <c r="K11" s="34"/>
      <c r="L11" s="34"/>
      <c r="M11" s="44"/>
    </row>
    <row r="12" spans="1:13">
      <c r="A12" s="145" t="s">
        <v>35</v>
      </c>
      <c r="B12" s="142"/>
      <c r="C12" s="34">
        <f>SUM(C8:C10)</f>
        <v>5526.3647274971972</v>
      </c>
      <c r="D12" s="34"/>
      <c r="E12" s="44">
        <f>SUM(E8:E10)</f>
        <v>5526.3647274971972</v>
      </c>
      <c r="F12" s="142"/>
      <c r="G12" s="34">
        <f t="shared" ref="G12:M12" si="0">SUM(G8:G10)</f>
        <v>81740.619356382362</v>
      </c>
      <c r="H12" s="34">
        <f t="shared" si="0"/>
        <v>147294.6357922797</v>
      </c>
      <c r="I12" s="44">
        <f t="shared" si="0"/>
        <v>109835.19782890978</v>
      </c>
      <c r="J12" s="142"/>
      <c r="K12" s="34">
        <f t="shared" si="0"/>
        <v>23459.130522529002</v>
      </c>
      <c r="L12" s="34">
        <f t="shared" si="0"/>
        <v>147294.6357922797</v>
      </c>
      <c r="M12" s="44">
        <f t="shared" si="0"/>
        <v>42034.456312991613</v>
      </c>
    </row>
    <row r="13" spans="1:13">
      <c r="A13" s="518"/>
      <c r="B13" s="142"/>
      <c r="C13" s="34"/>
      <c r="D13" s="34"/>
      <c r="E13" s="44"/>
      <c r="F13" s="142"/>
      <c r="G13" s="34"/>
      <c r="H13" s="34"/>
      <c r="I13" s="44"/>
      <c r="J13" s="142"/>
      <c r="K13" s="34"/>
      <c r="L13" s="34"/>
      <c r="M13" s="44"/>
    </row>
    <row r="14" spans="1:13">
      <c r="A14" s="145" t="s">
        <v>65</v>
      </c>
      <c r="B14" s="142"/>
      <c r="C14" s="34"/>
      <c r="D14" s="34"/>
      <c r="E14" s="44"/>
      <c r="F14" s="142"/>
      <c r="G14" s="34"/>
      <c r="H14" s="34"/>
      <c r="I14" s="44"/>
      <c r="J14" s="142"/>
      <c r="K14" s="34"/>
      <c r="L14" s="34"/>
      <c r="M14" s="44"/>
    </row>
    <row r="15" spans="1:13">
      <c r="A15" s="519">
        <f>Inputs!C3</f>
        <v>2.7723662892949787E-2</v>
      </c>
      <c r="B15" s="142"/>
      <c r="C15" s="34"/>
      <c r="D15" s="34"/>
      <c r="E15" s="44"/>
      <c r="F15" s="142"/>
      <c r="G15" s="34"/>
      <c r="H15" s="34"/>
      <c r="I15" s="44"/>
      <c r="J15" s="142"/>
      <c r="K15" s="34"/>
      <c r="L15" s="34"/>
      <c r="M15" s="44"/>
    </row>
    <row r="16" spans="1:13">
      <c r="A16" s="40" t="s">
        <v>64</v>
      </c>
      <c r="B16" s="142"/>
      <c r="C16" s="34"/>
      <c r="D16" s="34"/>
      <c r="E16" s="44"/>
      <c r="F16" s="142"/>
      <c r="G16" s="34"/>
      <c r="H16" s="34"/>
      <c r="I16" s="44"/>
      <c r="J16" s="142"/>
      <c r="K16" s="34"/>
      <c r="L16" s="34"/>
      <c r="M16" s="44"/>
    </row>
    <row r="17" spans="1:13">
      <c r="A17" s="53">
        <f>Inputs!C4</f>
        <v>1.5023E-2</v>
      </c>
      <c r="B17" s="142"/>
      <c r="C17" s="34"/>
      <c r="D17" s="34"/>
      <c r="E17" s="44"/>
      <c r="F17" s="142"/>
      <c r="G17" s="34"/>
      <c r="H17" s="34"/>
      <c r="I17" s="44"/>
      <c r="J17" s="142"/>
      <c r="K17" s="34"/>
      <c r="L17" s="34"/>
      <c r="M17" s="44"/>
    </row>
    <row r="18" spans="1:13">
      <c r="A18" s="520" t="s">
        <v>111</v>
      </c>
      <c r="B18" s="142"/>
      <c r="C18" s="34">
        <f t="shared" ref="C18:M20" si="1">(C8*(1+$A$15)*(1+$A$17))</f>
        <v>0</v>
      </c>
      <c r="D18" s="34"/>
      <c r="E18" s="44">
        <f t="shared" si="1"/>
        <v>0</v>
      </c>
      <c r="F18" s="142"/>
      <c r="G18" s="34">
        <f t="shared" si="1"/>
        <v>0</v>
      </c>
      <c r="H18" s="34">
        <f t="shared" si="1"/>
        <v>0</v>
      </c>
      <c r="I18" s="44">
        <f t="shared" si="1"/>
        <v>0</v>
      </c>
      <c r="J18" s="142"/>
      <c r="K18" s="34">
        <f t="shared" si="1"/>
        <v>0</v>
      </c>
      <c r="L18" s="34">
        <f t="shared" si="1"/>
        <v>0</v>
      </c>
      <c r="M18" s="44">
        <f t="shared" si="1"/>
        <v>0</v>
      </c>
    </row>
    <row r="19" spans="1:13">
      <c r="A19" s="520" t="s">
        <v>51</v>
      </c>
      <c r="B19" s="142"/>
      <c r="C19" s="34">
        <f t="shared" si="1"/>
        <v>4755.3041932663127</v>
      </c>
      <c r="D19" s="34"/>
      <c r="E19" s="44">
        <f t="shared" si="1"/>
        <v>4755.3041932663127</v>
      </c>
      <c r="F19" s="142"/>
      <c r="G19" s="34">
        <f t="shared" si="1"/>
        <v>84259.206544535366</v>
      </c>
      <c r="H19" s="34">
        <f t="shared" si="1"/>
        <v>152642.74118423252</v>
      </c>
      <c r="I19" s="44">
        <f t="shared" si="1"/>
        <v>113566.43567583415</v>
      </c>
      <c r="J19" s="142"/>
      <c r="K19" s="34">
        <f t="shared" si="1"/>
        <v>23462.104746506091</v>
      </c>
      <c r="L19" s="34">
        <f t="shared" si="1"/>
        <v>152642.74118423252</v>
      </c>
      <c r="M19" s="44">
        <f t="shared" si="1"/>
        <v>42839.200212165066</v>
      </c>
    </row>
    <row r="20" spans="1:13">
      <c r="A20" s="520" t="s">
        <v>52</v>
      </c>
      <c r="B20" s="142"/>
      <c r="C20" s="34">
        <f t="shared" si="1"/>
        <v>1009.5958742062977</v>
      </c>
      <c r="D20" s="34"/>
      <c r="E20" s="44">
        <f t="shared" si="1"/>
        <v>1009.5958742062977</v>
      </c>
      <c r="F20" s="142"/>
      <c r="G20" s="34">
        <f t="shared" si="1"/>
        <v>1009.5958742062976</v>
      </c>
      <c r="H20" s="34">
        <f t="shared" si="1"/>
        <v>1009.5958742062976</v>
      </c>
      <c r="I20" s="44">
        <f t="shared" si="1"/>
        <v>1009.5958742062976</v>
      </c>
      <c r="J20" s="142"/>
      <c r="K20" s="34">
        <f t="shared" si="1"/>
        <v>1009.5958742062976</v>
      </c>
      <c r="L20" s="34">
        <f t="shared" si="1"/>
        <v>1009.5958742062976</v>
      </c>
      <c r="M20" s="44">
        <f t="shared" si="1"/>
        <v>1009.5958742062978</v>
      </c>
    </row>
    <row r="21" spans="1:13">
      <c r="A21" s="145"/>
      <c r="B21" s="147"/>
      <c r="C21" s="97"/>
      <c r="D21" s="97"/>
      <c r="E21" s="99"/>
      <c r="F21" s="147"/>
      <c r="G21" s="97"/>
      <c r="H21" s="97"/>
      <c r="I21" s="99"/>
      <c r="J21" s="147"/>
      <c r="K21" s="97"/>
      <c r="L21" s="97"/>
      <c r="M21" s="99"/>
    </row>
    <row r="22" spans="1:13">
      <c r="A22" s="145" t="s">
        <v>35</v>
      </c>
      <c r="B22" s="147"/>
      <c r="C22" s="97">
        <f t="shared" ref="C22:M22" si="2">C18+C19+C20</f>
        <v>5764.9000674726103</v>
      </c>
      <c r="D22" s="97"/>
      <c r="E22" s="99">
        <f t="shared" si="2"/>
        <v>5764.9000674726103</v>
      </c>
      <c r="F22" s="147"/>
      <c r="G22" s="97">
        <f>G18+G19+G20</f>
        <v>85268.802418741659</v>
      </c>
      <c r="H22" s="97">
        <f t="shared" si="2"/>
        <v>153652.33705843883</v>
      </c>
      <c r="I22" s="99">
        <f t="shared" si="2"/>
        <v>114576.03155004044</v>
      </c>
      <c r="J22" s="147"/>
      <c r="K22" s="97">
        <f>K18+K19+K20</f>
        <v>24471.700620712389</v>
      </c>
      <c r="L22" s="97">
        <f t="shared" si="2"/>
        <v>153652.33705843883</v>
      </c>
      <c r="M22" s="99">
        <f t="shared" si="2"/>
        <v>43848.796086371367</v>
      </c>
    </row>
    <row r="23" spans="1:13">
      <c r="A23" s="145"/>
      <c r="B23" s="142"/>
      <c r="C23" s="34"/>
      <c r="D23" s="34"/>
      <c r="E23" s="44"/>
      <c r="F23" s="142"/>
      <c r="G23" s="34"/>
      <c r="H23" s="34"/>
      <c r="I23" s="44"/>
      <c r="J23" s="142"/>
      <c r="K23" s="34"/>
      <c r="L23" s="34"/>
      <c r="M23" s="44"/>
    </row>
    <row r="24" spans="1:13">
      <c r="A24" s="806" t="str">
        <f>'Resid TSM Sum by Rate Schedule'!A25</f>
        <v>Annualized Transformer Cost at 8.05%</v>
      </c>
      <c r="B24" s="147"/>
      <c r="C24" s="97">
        <f>C18*Inputs!$C$5</f>
        <v>0</v>
      </c>
      <c r="D24" s="97"/>
      <c r="E24" s="99">
        <f>E18*Inputs!$C$5</f>
        <v>0</v>
      </c>
      <c r="F24" s="147"/>
      <c r="G24" s="97">
        <f>G18*Inputs!$C$5</f>
        <v>0</v>
      </c>
      <c r="H24" s="97">
        <f>H18*Inputs!$C$5</f>
        <v>0</v>
      </c>
      <c r="I24" s="99">
        <f>I18*Inputs!$C$5</f>
        <v>0</v>
      </c>
      <c r="J24" s="147"/>
      <c r="K24" s="97">
        <f>K18*Inputs!$C$5</f>
        <v>0</v>
      </c>
      <c r="L24" s="97">
        <f>L18*Inputs!$C$5</f>
        <v>0</v>
      </c>
      <c r="M24" s="99">
        <f>M18*Inputs!$C$5</f>
        <v>0</v>
      </c>
    </row>
    <row r="25" spans="1:13">
      <c r="A25" s="806" t="str">
        <f>'Resid TSM Sum by Rate Schedule'!A26</f>
        <v>Annualized Services Cost at 7.08%</v>
      </c>
      <c r="B25" s="147"/>
      <c r="C25" s="97">
        <f>C19*Inputs!$C$6</f>
        <v>336.55693931960548</v>
      </c>
      <c r="D25" s="97"/>
      <c r="E25" s="99">
        <f>E19*Inputs!$C$6</f>
        <v>336.55693931960548</v>
      </c>
      <c r="F25" s="147"/>
      <c r="G25" s="97">
        <f>G19*Inputs!$C$6</f>
        <v>5963.4503938324924</v>
      </c>
      <c r="H25" s="97">
        <f>H19*Inputs!$C$6</f>
        <v>10803.299156984747</v>
      </c>
      <c r="I25" s="99">
        <f>I19*Inputs!$C$6</f>
        <v>8037.6712923263158</v>
      </c>
      <c r="J25" s="147"/>
      <c r="K25" s="97">
        <f>K19*Inputs!$C$6</f>
        <v>1660.531869793226</v>
      </c>
      <c r="L25" s="97">
        <f>L19*Inputs!$C$6</f>
        <v>10803.299156984747</v>
      </c>
      <c r="M25" s="99">
        <f>M19*Inputs!$C$6</f>
        <v>3031.9469628719548</v>
      </c>
    </row>
    <row r="26" spans="1:13" ht="15">
      <c r="A26" s="806" t="str">
        <f>'Resid TSM Sum by Rate Schedule'!A27</f>
        <v>Annualized Meter Cost at 10.78%</v>
      </c>
      <c r="B26" s="628"/>
      <c r="C26" s="627">
        <f>C20*Inputs!$C$7</f>
        <v>108.80056263807838</v>
      </c>
      <c r="D26" s="627"/>
      <c r="E26" s="626">
        <f>E20*Inputs!$C$7</f>
        <v>108.80056263807838</v>
      </c>
      <c r="F26" s="628"/>
      <c r="G26" s="627">
        <f>G20*Inputs!$C$7</f>
        <v>108.80056263807836</v>
      </c>
      <c r="H26" s="627">
        <f>H20*Inputs!$C$7</f>
        <v>108.80056263807836</v>
      </c>
      <c r="I26" s="626">
        <f>I20*Inputs!$C$7</f>
        <v>108.80056263807836</v>
      </c>
      <c r="J26" s="628"/>
      <c r="K26" s="627">
        <f>K20*Inputs!$C$7</f>
        <v>108.80056263807836</v>
      </c>
      <c r="L26" s="627">
        <f>L20*Inputs!$C$7</f>
        <v>108.80056263807836</v>
      </c>
      <c r="M26" s="626">
        <f>M20*Inputs!$C$7</f>
        <v>108.80056263807839</v>
      </c>
    </row>
    <row r="27" spans="1:13">
      <c r="A27" s="621" t="s">
        <v>380</v>
      </c>
      <c r="B27" s="147"/>
      <c r="C27" s="97">
        <f t="shared" ref="C27:M27" si="3">SUM(C24:C26)</f>
        <v>445.35750195768384</v>
      </c>
      <c r="D27" s="97"/>
      <c r="E27" s="99">
        <f t="shared" si="3"/>
        <v>445.35750195768384</v>
      </c>
      <c r="F27" s="147"/>
      <c r="G27" s="97">
        <f t="shared" si="3"/>
        <v>6072.2509564705706</v>
      </c>
      <c r="H27" s="97">
        <f t="shared" si="3"/>
        <v>10912.099719622825</v>
      </c>
      <c r="I27" s="99">
        <f t="shared" si="3"/>
        <v>8146.471854964394</v>
      </c>
      <c r="J27" s="147"/>
      <c r="K27" s="97">
        <f t="shared" si="3"/>
        <v>1769.3324324313044</v>
      </c>
      <c r="L27" s="97">
        <f t="shared" si="3"/>
        <v>10912.099719622825</v>
      </c>
      <c r="M27" s="99">
        <f t="shared" si="3"/>
        <v>3140.747525510033</v>
      </c>
    </row>
    <row r="28" spans="1:13">
      <c r="A28" s="519"/>
      <c r="B28" s="142"/>
      <c r="C28" s="34"/>
      <c r="D28" s="34"/>
      <c r="E28" s="44"/>
      <c r="F28" s="142"/>
      <c r="G28" s="34"/>
      <c r="H28" s="34"/>
      <c r="I28" s="44"/>
      <c r="J28" s="142"/>
      <c r="K28" s="34"/>
      <c r="L28" s="34"/>
      <c r="M28" s="44"/>
    </row>
    <row r="29" spans="1:13">
      <c r="A29" s="145" t="s">
        <v>50</v>
      </c>
      <c r="B29" s="142"/>
      <c r="C29" s="34">
        <f>'Distribution O&amp;M Allocations'!$X$20</f>
        <v>56.667578993140928</v>
      </c>
      <c r="D29" s="34"/>
      <c r="E29" s="44">
        <f>'Distribution O&amp;M Allocations'!$X$20</f>
        <v>56.667578993140928</v>
      </c>
      <c r="F29" s="142"/>
      <c r="G29" s="34">
        <f>'Distribution O&amp;M Allocations'!$Y$20</f>
        <v>1126.2547906453142</v>
      </c>
      <c r="H29" s="34">
        <f>'Distribution O&amp;M Allocations'!$Y$20</f>
        <v>1126.2547906453142</v>
      </c>
      <c r="I29" s="44">
        <f>'Distribution O&amp;M Allocations'!$Y$20</f>
        <v>1126.2547906453142</v>
      </c>
      <c r="J29" s="142"/>
      <c r="K29" s="34">
        <f>'Distribution O&amp;M Allocations'!$Y$24</f>
        <v>431.02310307140152</v>
      </c>
      <c r="L29" s="34">
        <f>'Distribution O&amp;M Allocations'!$Y$24</f>
        <v>431.02310307140152</v>
      </c>
      <c r="M29" s="44">
        <f>'Distribution O&amp;M Allocations'!$Y$24</f>
        <v>431.02310307140152</v>
      </c>
    </row>
    <row r="30" spans="1:13">
      <c r="A30" s="146"/>
      <c r="B30" s="10"/>
      <c r="C30" s="31"/>
      <c r="D30" s="31"/>
      <c r="E30" s="107"/>
      <c r="F30" s="10"/>
      <c r="G30" s="31"/>
      <c r="H30" s="31"/>
      <c r="I30" s="107"/>
      <c r="J30" s="10"/>
      <c r="K30" s="31"/>
      <c r="L30" s="31"/>
      <c r="M30" s="107"/>
    </row>
    <row r="31" spans="1:13">
      <c r="A31" s="145" t="s">
        <v>61</v>
      </c>
      <c r="B31" s="197"/>
      <c r="C31" s="198">
        <f>'Cust Service Cost Allocations'!$AA$76</f>
        <v>447.86258547437507</v>
      </c>
      <c r="D31" s="198"/>
      <c r="E31" s="382">
        <f>'Cust Service Cost Allocations'!$AA$76</f>
        <v>447.86258547437507</v>
      </c>
      <c r="F31" s="197"/>
      <c r="G31" s="198">
        <f>'Cust Service Cost Allocations'!$AA$76</f>
        <v>447.86258547437507</v>
      </c>
      <c r="H31" s="198">
        <f>'Cust Service Cost Allocations'!$AA$76</f>
        <v>447.86258547437507</v>
      </c>
      <c r="I31" s="382">
        <f>'Cust Service Cost Allocations'!$AA$76</f>
        <v>447.86258547437507</v>
      </c>
      <c r="J31" s="197"/>
      <c r="K31" s="198">
        <f>'Cust Service Cost Allocations'!$AA$76</f>
        <v>447.86258547437507</v>
      </c>
      <c r="L31" s="198">
        <f>'Cust Service Cost Allocations'!$AA$76</f>
        <v>447.86258547437507</v>
      </c>
      <c r="M31" s="382">
        <f>'Cust Service Cost Allocations'!$AA$76</f>
        <v>447.86258547437507</v>
      </c>
    </row>
    <row r="32" spans="1:13" ht="13.5" thickBot="1">
      <c r="A32" s="157"/>
      <c r="B32" s="144"/>
      <c r="C32" s="115"/>
      <c r="D32" s="115"/>
      <c r="E32" s="116"/>
      <c r="F32" s="144"/>
      <c r="G32" s="115"/>
      <c r="H32" s="115"/>
      <c r="I32" s="116"/>
      <c r="J32" s="144"/>
      <c r="K32" s="115"/>
      <c r="L32" s="115"/>
      <c r="M32" s="116"/>
    </row>
    <row r="33" spans="1:13" ht="13.5" thickBot="1">
      <c r="A33" s="521" t="s">
        <v>165</v>
      </c>
      <c r="B33" s="372"/>
      <c r="C33" s="372">
        <f t="shared" ref="C33:M33" si="4">C27+C29+C31</f>
        <v>949.88766642519977</v>
      </c>
      <c r="D33" s="372"/>
      <c r="E33" s="383">
        <f t="shared" si="4"/>
        <v>949.88766642519977</v>
      </c>
      <c r="F33" s="372"/>
      <c r="G33" s="372">
        <f t="shared" si="4"/>
        <v>7646.3683325902603</v>
      </c>
      <c r="H33" s="372">
        <f t="shared" si="4"/>
        <v>12486.217095742515</v>
      </c>
      <c r="I33" s="372">
        <f t="shared" si="4"/>
        <v>9720.5892310840827</v>
      </c>
      <c r="J33" s="371"/>
      <c r="K33" s="372">
        <f>K27+K29+K31</f>
        <v>2648.2181209770811</v>
      </c>
      <c r="L33" s="372">
        <f t="shared" si="4"/>
        <v>11790.985408168603</v>
      </c>
      <c r="M33" s="383">
        <f t="shared" si="4"/>
        <v>4019.6332140558097</v>
      </c>
    </row>
    <row r="34" spans="1:13">
      <c r="C34" s="18"/>
      <c r="D34" s="13"/>
      <c r="E34" s="13"/>
      <c r="F34" s="13"/>
      <c r="G34" s="13"/>
      <c r="H34" s="13"/>
      <c r="I34" s="13"/>
    </row>
    <row r="36" spans="1:13">
      <c r="A36" t="s">
        <v>3</v>
      </c>
    </row>
    <row r="44" spans="1:13">
      <c r="A44" s="19"/>
      <c r="B44" s="19"/>
    </row>
    <row r="56" spans="1:2">
      <c r="A56" s="19"/>
      <c r="B56" s="19"/>
    </row>
  </sheetData>
  <mergeCells count="4">
    <mergeCell ref="A1:M1"/>
    <mergeCell ref="B2:E2"/>
    <mergeCell ref="F2:I2"/>
    <mergeCell ref="J2:M2"/>
  </mergeCells>
  <printOptions horizontalCentered="1"/>
  <pageMargins left="0.75" right="0.75" top="1" bottom="1" header="0.5" footer="0.5"/>
  <pageSetup scale="41" orientation="portrait" r:id="rId1"/>
  <headerFooter alignWithMargins="0">
    <oddFooter>&amp;L&amp;F
&amp;A&amp;R&amp;P of &amp;N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sheetPr codeName="Sheet54">
    <tabColor rgb="FFFFC000"/>
    <pageSetUpPr fitToPage="1"/>
  </sheetPr>
  <dimension ref="A1:M58"/>
  <sheetViews>
    <sheetView zoomScaleNormal="100" workbookViewId="0">
      <selection activeCell="A24" sqref="A24:A26"/>
    </sheetView>
  </sheetViews>
  <sheetFormatPr defaultRowHeight="12.75"/>
  <cols>
    <col min="1" max="1" width="40.7109375" customWidth="1"/>
    <col min="2" max="2" width="14" bestFit="1" customWidth="1"/>
    <col min="3" max="3" width="17" customWidth="1"/>
    <col min="4" max="4" width="10.42578125" style="12" bestFit="1" customWidth="1"/>
    <col min="5" max="5" width="13.42578125" style="12" bestFit="1" customWidth="1"/>
    <col min="6" max="6" width="15.140625" style="12" bestFit="1" customWidth="1"/>
    <col min="7" max="7" width="17" style="12" customWidth="1"/>
    <col min="8" max="8" width="16.5703125" style="12" bestFit="1" customWidth="1"/>
    <col min="9" max="9" width="16.28515625" style="12" bestFit="1" customWidth="1"/>
    <col min="10" max="10" width="14.85546875" bestFit="1" customWidth="1"/>
    <col min="11" max="11" width="17" customWidth="1"/>
    <col min="12" max="12" width="16.5703125" bestFit="1" customWidth="1"/>
    <col min="13" max="13" width="14.85546875" bestFit="1" customWidth="1"/>
  </cols>
  <sheetData>
    <row r="1" spans="1:13" ht="18.75" thickBot="1">
      <c r="A1" s="826" t="s">
        <v>400</v>
      </c>
      <c r="B1" s="826"/>
      <c r="C1" s="826"/>
      <c r="D1" s="826"/>
      <c r="E1" s="826"/>
      <c r="F1" s="826"/>
      <c r="G1" s="826"/>
      <c r="H1" s="826"/>
      <c r="I1" s="826"/>
      <c r="J1" s="826"/>
      <c r="K1" s="826"/>
      <c r="L1" s="826"/>
      <c r="M1" s="826"/>
    </row>
    <row r="2" spans="1:13" ht="13.5" thickBot="1">
      <c r="A2" s="387"/>
      <c r="B2" s="827" t="s">
        <v>1</v>
      </c>
      <c r="C2" s="828"/>
      <c r="D2" s="828"/>
      <c r="E2" s="829"/>
      <c r="F2" s="827" t="s">
        <v>99</v>
      </c>
      <c r="G2" s="828"/>
      <c r="H2" s="828"/>
      <c r="I2" s="829"/>
      <c r="J2" s="827" t="s">
        <v>141</v>
      </c>
      <c r="K2" s="828"/>
      <c r="L2" s="828"/>
      <c r="M2" s="829"/>
    </row>
    <row r="3" spans="1:13" ht="13.5" thickBot="1">
      <c r="A3" s="384" t="s">
        <v>47</v>
      </c>
      <c r="B3" s="402" t="s">
        <v>189</v>
      </c>
      <c r="C3" s="612" t="s">
        <v>139</v>
      </c>
      <c r="D3" s="612" t="s">
        <v>100</v>
      </c>
      <c r="E3" s="613" t="s">
        <v>168</v>
      </c>
      <c r="F3" s="402" t="s">
        <v>189</v>
      </c>
      <c r="G3" s="612" t="s">
        <v>139</v>
      </c>
      <c r="H3" s="612" t="s">
        <v>100</v>
      </c>
      <c r="I3" s="613" t="s">
        <v>248</v>
      </c>
      <c r="J3" s="402" t="s">
        <v>189</v>
      </c>
      <c r="K3" s="612" t="s">
        <v>139</v>
      </c>
      <c r="L3" s="612" t="s">
        <v>100</v>
      </c>
      <c r="M3" s="613" t="s">
        <v>2</v>
      </c>
    </row>
    <row r="4" spans="1:13">
      <c r="A4" s="39"/>
      <c r="B4" s="5"/>
      <c r="C4" s="6"/>
      <c r="D4" s="6"/>
      <c r="E4" s="7"/>
      <c r="F4" s="5"/>
      <c r="G4" s="6"/>
      <c r="H4" s="6"/>
      <c r="I4" s="7"/>
      <c r="J4" s="5"/>
      <c r="K4" s="6"/>
      <c r="L4" s="6"/>
      <c r="M4" s="7"/>
    </row>
    <row r="5" spans="1:13">
      <c r="A5" s="40"/>
      <c r="B5" s="132"/>
      <c r="C5" s="8"/>
      <c r="D5" s="8"/>
      <c r="E5" s="9"/>
      <c r="F5" s="132"/>
      <c r="G5" s="8"/>
      <c r="H5" s="8"/>
      <c r="I5" s="9"/>
      <c r="J5" s="132"/>
      <c r="K5" s="8"/>
      <c r="L5" s="8"/>
      <c r="M5" s="9"/>
    </row>
    <row r="6" spans="1:13">
      <c r="A6" s="40" t="s">
        <v>49</v>
      </c>
      <c r="B6" s="142"/>
      <c r="C6" s="34"/>
      <c r="D6" s="34"/>
      <c r="E6" s="44"/>
      <c r="F6" s="142"/>
      <c r="G6" s="34"/>
      <c r="H6" s="34"/>
      <c r="I6" s="44"/>
      <c r="J6" s="142"/>
      <c r="K6" s="34"/>
      <c r="L6" s="34"/>
      <c r="M6" s="44"/>
    </row>
    <row r="7" spans="1:13">
      <c r="A7" s="41"/>
      <c r="B7" s="142"/>
      <c r="C7" s="34"/>
      <c r="D7" s="34"/>
      <c r="E7" s="44"/>
      <c r="F7" s="142"/>
      <c r="G7" s="34"/>
      <c r="H7" s="34"/>
      <c r="I7" s="44"/>
      <c r="J7" s="142"/>
      <c r="K7" s="34"/>
      <c r="L7" s="34"/>
      <c r="M7" s="44"/>
    </row>
    <row r="8" spans="1:13">
      <c r="A8" s="40" t="s">
        <v>53</v>
      </c>
      <c r="B8" s="143"/>
      <c r="C8" s="163">
        <f>'Sch A6-TOU TSM Summary'!C8*Inputs!$C$12</f>
        <v>0</v>
      </c>
      <c r="D8" s="163"/>
      <c r="E8" s="49">
        <f>'Sch A6-TOU TSM Summary'!E8*Inputs!$C$12</f>
        <v>0</v>
      </c>
      <c r="F8" s="143"/>
      <c r="G8" s="163">
        <f>'Sch A6-TOU TSM Summary'!G8*Inputs!$C$12</f>
        <v>0</v>
      </c>
      <c r="H8" s="163">
        <f>'Sch A6-TOU TSM Summary'!H8*Inputs!$C$12</f>
        <v>0</v>
      </c>
      <c r="I8" s="49">
        <f>'Sch A6-TOU TSM Summary'!I8*Inputs!$C$12</f>
        <v>0</v>
      </c>
      <c r="J8" s="143"/>
      <c r="K8" s="163">
        <f>'Sch A6-TOU TSM Summary'!K8*Inputs!$C$12</f>
        <v>0</v>
      </c>
      <c r="L8" s="163">
        <f>'Sch A6-TOU TSM Summary'!L8*Inputs!$C$12</f>
        <v>0</v>
      </c>
      <c r="M8" s="49">
        <f>'Sch A6-TOU TSM Summary'!M8*Inputs!$C$12</f>
        <v>0</v>
      </c>
    </row>
    <row r="9" spans="1:13">
      <c r="A9" s="40" t="s">
        <v>51</v>
      </c>
      <c r="B9" s="143"/>
      <c r="C9" s="163">
        <f>'Sch A6-TOU TSM Summary'!C9*Inputs!$C$12</f>
        <v>4946.6759736452559</v>
      </c>
      <c r="D9" s="163"/>
      <c r="E9" s="49">
        <f>'Sch A6-TOU TSM Summary'!E9*Inputs!$C$12</f>
        <v>4946.6759736452559</v>
      </c>
      <c r="F9" s="143"/>
      <c r="G9" s="163">
        <f>'Sch A6-TOU TSM Summary'!G9*Inputs!$C$12</f>
        <v>87650.121975892675</v>
      </c>
      <c r="H9" s="163">
        <f>'Sch A6-TOU TSM Summary'!H9*Inputs!$C$12</f>
        <v>158785.67378225925</v>
      </c>
      <c r="I9" s="49">
        <f>'Sch A6-TOU TSM Summary'!I9*Inputs!$C$12</f>
        <v>118136.78703576405</v>
      </c>
      <c r="J9" s="143"/>
      <c r="K9" s="163">
        <f>'Sch A6-TOU TSM Summary'!K9*Inputs!$C$12</f>
        <v>24406.310327115236</v>
      </c>
      <c r="L9" s="163">
        <f>'Sch A6-TOU TSM Summary'!L9*Inputs!$C$12</f>
        <v>158785.67378225925</v>
      </c>
      <c r="M9" s="49">
        <f>'Sch A6-TOU TSM Summary'!M9*Inputs!$C$12</f>
        <v>44563.21484538685</v>
      </c>
    </row>
    <row r="10" spans="1:13">
      <c r="A10" s="40" t="s">
        <v>52</v>
      </c>
      <c r="B10" s="143"/>
      <c r="C10" s="163">
        <f>'Sch A6-TOU TSM Summary'!C10*Inputs!$C$12</f>
        <v>1050.2259058630916</v>
      </c>
      <c r="D10" s="163"/>
      <c r="E10" s="49">
        <f>'Sch A6-TOU TSM Summary'!E10*Inputs!$C$12</f>
        <v>1050.2259058630916</v>
      </c>
      <c r="F10" s="143"/>
      <c r="G10" s="163">
        <f>'Sch A6-TOU TSM Summary'!G10*Inputs!$C$12</f>
        <v>1050.2259058630914</v>
      </c>
      <c r="H10" s="163">
        <f>'Sch A6-TOU TSM Summary'!H10*Inputs!$C$12</f>
        <v>1050.2259058630914</v>
      </c>
      <c r="I10" s="49">
        <f>'Sch A6-TOU TSM Summary'!I10*Inputs!$C$12</f>
        <v>1050.2259058630914</v>
      </c>
      <c r="J10" s="143"/>
      <c r="K10" s="163">
        <f>'Sch A6-TOU TSM Summary'!K10*Inputs!$C$12</f>
        <v>1050.2259058630914</v>
      </c>
      <c r="L10" s="163">
        <f>'Sch A6-TOU TSM Summary'!L10*Inputs!$C$12</f>
        <v>1050.2259058630914</v>
      </c>
      <c r="M10" s="49">
        <f>'Sch A6-TOU TSM Summary'!M10*Inputs!$C$12</f>
        <v>1050.2259058630916</v>
      </c>
    </row>
    <row r="11" spans="1:13">
      <c r="A11" s="42"/>
      <c r="B11" s="142"/>
      <c r="C11" s="34"/>
      <c r="D11" s="34"/>
      <c r="E11" s="44"/>
      <c r="F11" s="142"/>
      <c r="G11" s="34"/>
      <c r="H11" s="34"/>
      <c r="I11" s="44"/>
      <c r="J11" s="142"/>
      <c r="K11" s="34"/>
      <c r="L11" s="34"/>
      <c r="M11" s="44"/>
    </row>
    <row r="12" spans="1:13">
      <c r="A12" s="40" t="s">
        <v>35</v>
      </c>
      <c r="B12" s="142"/>
      <c r="C12" s="34">
        <f t="shared" ref="C12:M12" si="0">SUM(C8:C10)</f>
        <v>5996.9018795083475</v>
      </c>
      <c r="D12" s="34"/>
      <c r="E12" s="44">
        <f t="shared" si="0"/>
        <v>5996.9018795083475</v>
      </c>
      <c r="F12" s="142"/>
      <c r="G12" s="34">
        <f t="shared" si="0"/>
        <v>88700.347881755763</v>
      </c>
      <c r="H12" s="34">
        <f t="shared" si="0"/>
        <v>159835.89968812236</v>
      </c>
      <c r="I12" s="44">
        <f t="shared" si="0"/>
        <v>119187.01294162714</v>
      </c>
      <c r="J12" s="142"/>
      <c r="K12" s="34">
        <f t="shared" si="0"/>
        <v>25456.536232978327</v>
      </c>
      <c r="L12" s="34">
        <f t="shared" si="0"/>
        <v>159835.89968812236</v>
      </c>
      <c r="M12" s="44">
        <f t="shared" si="0"/>
        <v>45613.440751249946</v>
      </c>
    </row>
    <row r="13" spans="1:13">
      <c r="A13" s="42"/>
      <c r="B13" s="142"/>
      <c r="C13" s="34"/>
      <c r="D13" s="34"/>
      <c r="E13" s="44"/>
      <c r="F13" s="142"/>
      <c r="G13" s="34"/>
      <c r="H13" s="34"/>
      <c r="I13" s="44"/>
      <c r="J13" s="142"/>
      <c r="K13" s="34"/>
      <c r="L13" s="34"/>
      <c r="M13" s="44"/>
    </row>
    <row r="14" spans="1:13">
      <c r="A14" s="40" t="s">
        <v>65</v>
      </c>
      <c r="B14" s="142"/>
      <c r="C14" s="34"/>
      <c r="D14" s="34"/>
      <c r="E14" s="44"/>
      <c r="F14" s="142"/>
      <c r="G14" s="34"/>
      <c r="H14" s="34"/>
      <c r="I14" s="44"/>
      <c r="J14" s="142"/>
      <c r="K14" s="34"/>
      <c r="L14" s="34"/>
      <c r="M14" s="44"/>
    </row>
    <row r="15" spans="1:13">
      <c r="A15" s="53">
        <f>Inputs!C3</f>
        <v>2.7723662892949787E-2</v>
      </c>
      <c r="B15" s="142"/>
      <c r="C15" s="34"/>
      <c r="D15" s="34"/>
      <c r="E15" s="44"/>
      <c r="F15" s="142"/>
      <c r="G15" s="34"/>
      <c r="H15" s="34"/>
      <c r="I15" s="44"/>
      <c r="J15" s="142"/>
      <c r="K15" s="34"/>
      <c r="L15" s="34"/>
      <c r="M15" s="44"/>
    </row>
    <row r="16" spans="1:13">
      <c r="A16" s="40" t="s">
        <v>64</v>
      </c>
      <c r="B16" s="142"/>
      <c r="C16" s="34"/>
      <c r="D16" s="34"/>
      <c r="E16" s="44"/>
      <c r="F16" s="142"/>
      <c r="G16" s="34"/>
      <c r="H16" s="34"/>
      <c r="I16" s="44"/>
      <c r="J16" s="142"/>
      <c r="K16" s="34"/>
      <c r="L16" s="34"/>
      <c r="M16" s="44"/>
    </row>
    <row r="17" spans="1:13">
      <c r="A17" s="53">
        <f>Inputs!C4</f>
        <v>1.5023E-2</v>
      </c>
      <c r="B17" s="142"/>
      <c r="C17" s="34"/>
      <c r="D17" s="34"/>
      <c r="E17" s="44"/>
      <c r="F17" s="142"/>
      <c r="G17" s="34"/>
      <c r="H17" s="34"/>
      <c r="I17" s="44"/>
      <c r="J17" s="142"/>
      <c r="K17" s="34"/>
      <c r="L17" s="34"/>
      <c r="M17" s="44"/>
    </row>
    <row r="18" spans="1:13">
      <c r="A18" s="122" t="s">
        <v>111</v>
      </c>
      <c r="B18" s="142"/>
      <c r="C18" s="34">
        <f t="shared" ref="C18:M20" si="1">(C8*(1+$A$15)*(1+$A$17))</f>
        <v>0</v>
      </c>
      <c r="D18" s="34"/>
      <c r="E18" s="44">
        <f t="shared" si="1"/>
        <v>0</v>
      </c>
      <c r="F18" s="142"/>
      <c r="G18" s="34">
        <f t="shared" si="1"/>
        <v>0</v>
      </c>
      <c r="H18" s="34">
        <f t="shared" si="1"/>
        <v>0</v>
      </c>
      <c r="I18" s="44">
        <f t="shared" si="1"/>
        <v>0</v>
      </c>
      <c r="J18" s="142"/>
      <c r="K18" s="34">
        <f t="shared" si="1"/>
        <v>0</v>
      </c>
      <c r="L18" s="34">
        <f t="shared" si="1"/>
        <v>0</v>
      </c>
      <c r="M18" s="44">
        <f t="shared" si="1"/>
        <v>0</v>
      </c>
    </row>
    <row r="19" spans="1:13">
      <c r="A19" s="122" t="s">
        <v>51</v>
      </c>
      <c r="B19" s="142"/>
      <c r="C19" s="34">
        <f t="shared" si="1"/>
        <v>5160.1901178078087</v>
      </c>
      <c r="D19" s="34"/>
      <c r="E19" s="44">
        <f t="shared" si="1"/>
        <v>5160.1901178078087</v>
      </c>
      <c r="F19" s="142"/>
      <c r="G19" s="34">
        <f t="shared" si="1"/>
        <v>91433.377818630863</v>
      </c>
      <c r="H19" s="34">
        <f t="shared" si="1"/>
        <v>165639.36450781324</v>
      </c>
      <c r="I19" s="44">
        <f t="shared" si="1"/>
        <v>123235.94354256615</v>
      </c>
      <c r="J19" s="142"/>
      <c r="K19" s="34">
        <f t="shared" si="1"/>
        <v>25459.763694472054</v>
      </c>
      <c r="L19" s="34">
        <f t="shared" si="1"/>
        <v>165639.36450781324</v>
      </c>
      <c r="M19" s="44">
        <f t="shared" si="1"/>
        <v>46486.703816473251</v>
      </c>
    </row>
    <row r="20" spans="1:13">
      <c r="A20" s="122" t="s">
        <v>52</v>
      </c>
      <c r="B20" s="142"/>
      <c r="C20" s="34">
        <f t="shared" si="1"/>
        <v>1095.5569699276043</v>
      </c>
      <c r="D20" s="34"/>
      <c r="E20" s="44">
        <f t="shared" si="1"/>
        <v>1095.5569699276043</v>
      </c>
      <c r="F20" s="142"/>
      <c r="G20" s="34">
        <f t="shared" si="1"/>
        <v>1095.5569699276041</v>
      </c>
      <c r="H20" s="34">
        <f t="shared" si="1"/>
        <v>1095.5569699276041</v>
      </c>
      <c r="I20" s="44">
        <f t="shared" si="1"/>
        <v>1095.5569699276041</v>
      </c>
      <c r="J20" s="142"/>
      <c r="K20" s="34">
        <f t="shared" si="1"/>
        <v>1095.5569699276041</v>
      </c>
      <c r="L20" s="34">
        <f t="shared" si="1"/>
        <v>1095.5569699276041</v>
      </c>
      <c r="M20" s="44">
        <f t="shared" si="1"/>
        <v>1095.5569699276043</v>
      </c>
    </row>
    <row r="21" spans="1:13">
      <c r="A21" s="40"/>
      <c r="B21" s="147"/>
      <c r="C21" s="97"/>
      <c r="D21" s="97"/>
      <c r="E21" s="99"/>
      <c r="F21" s="147"/>
      <c r="G21" s="97"/>
      <c r="H21" s="97"/>
      <c r="I21" s="99"/>
      <c r="J21" s="147"/>
      <c r="K21" s="97"/>
      <c r="L21" s="97"/>
      <c r="M21" s="99"/>
    </row>
    <row r="22" spans="1:13">
      <c r="A22" s="40" t="s">
        <v>35</v>
      </c>
      <c r="B22" s="147"/>
      <c r="C22" s="97">
        <f t="shared" ref="C22:M22" si="2">C18+C19+C20</f>
        <v>6255.7470877354135</v>
      </c>
      <c r="D22" s="97"/>
      <c r="E22" s="99">
        <f t="shared" si="2"/>
        <v>6255.7470877354135</v>
      </c>
      <c r="F22" s="147"/>
      <c r="G22" s="97">
        <f t="shared" si="2"/>
        <v>92528.934788558472</v>
      </c>
      <c r="H22" s="97">
        <f t="shared" si="2"/>
        <v>166734.92147774083</v>
      </c>
      <c r="I22" s="99">
        <f t="shared" si="2"/>
        <v>124331.50051249376</v>
      </c>
      <c r="J22" s="147"/>
      <c r="K22" s="97">
        <f t="shared" si="2"/>
        <v>26555.32066439966</v>
      </c>
      <c r="L22" s="97">
        <f t="shared" si="2"/>
        <v>166734.92147774083</v>
      </c>
      <c r="M22" s="99">
        <f t="shared" si="2"/>
        <v>47582.260786400853</v>
      </c>
    </row>
    <row r="23" spans="1:13">
      <c r="A23" s="40"/>
      <c r="B23" s="142"/>
      <c r="C23" s="34"/>
      <c r="D23" s="34"/>
      <c r="E23" s="44"/>
      <c r="F23" s="142"/>
      <c r="G23" s="34"/>
      <c r="H23" s="34"/>
      <c r="I23" s="44"/>
      <c r="J23" s="142"/>
      <c r="K23" s="34"/>
      <c r="L23" s="34"/>
      <c r="M23" s="44"/>
    </row>
    <row r="24" spans="1:13">
      <c r="A24" s="806" t="str">
        <f>'Resid TSM Sum by Rate Schedule'!A25</f>
        <v>Annualized Transformer Cost at 8.05%</v>
      </c>
      <c r="B24" s="147"/>
      <c r="C24" s="97">
        <f>C18*Inputs!$C$5</f>
        <v>0</v>
      </c>
      <c r="D24" s="97"/>
      <c r="E24" s="99">
        <f>E18*Inputs!$C$5</f>
        <v>0</v>
      </c>
      <c r="F24" s="147"/>
      <c r="G24" s="97">
        <f>G18*Inputs!$C$5</f>
        <v>0</v>
      </c>
      <c r="H24" s="97">
        <f>H18*Inputs!$C$5</f>
        <v>0</v>
      </c>
      <c r="I24" s="99">
        <f>I18*Inputs!$C$5</f>
        <v>0</v>
      </c>
      <c r="J24" s="147"/>
      <c r="K24" s="97">
        <f>K18*Inputs!$C$5</f>
        <v>0</v>
      </c>
      <c r="L24" s="97">
        <f>L18*Inputs!$C$5</f>
        <v>0</v>
      </c>
      <c r="M24" s="99">
        <f>M18*Inputs!$C$5</f>
        <v>0</v>
      </c>
    </row>
    <row r="25" spans="1:13">
      <c r="A25" s="806" t="str">
        <f>'Resid TSM Sum by Rate Schedule'!A26</f>
        <v>Annualized Services Cost at 7.08%</v>
      </c>
      <c r="B25" s="147"/>
      <c r="C25" s="97">
        <f>C19*Inputs!$C$6</f>
        <v>365.21276489859451</v>
      </c>
      <c r="D25" s="97"/>
      <c r="E25" s="99">
        <f>E19*Inputs!$C$6</f>
        <v>365.21276489859451</v>
      </c>
      <c r="F25" s="147"/>
      <c r="G25" s="97">
        <f>G19*Inputs!$C$6</f>
        <v>6471.2027957888722</v>
      </c>
      <c r="H25" s="97">
        <f>H19*Inputs!$C$6</f>
        <v>11723.135951751319</v>
      </c>
      <c r="I25" s="99">
        <f>I19*Inputs!$C$6</f>
        <v>8722.0312912013487</v>
      </c>
      <c r="J25" s="147"/>
      <c r="K25" s="97">
        <f>K19*Inputs!$C$6</f>
        <v>1801.9163015786596</v>
      </c>
      <c r="L25" s="97">
        <f>L19*Inputs!$C$6</f>
        <v>11723.135951751319</v>
      </c>
      <c r="M25" s="99">
        <f>M19*Inputs!$C$6</f>
        <v>3290.0992491045599</v>
      </c>
    </row>
    <row r="26" spans="1:13" ht="15">
      <c r="A26" s="806" t="str">
        <f>'Resid TSM Sum by Rate Schedule'!A27</f>
        <v>Annualized Meter Cost at 10.78%</v>
      </c>
      <c r="B26" s="628"/>
      <c r="C26" s="627">
        <f>C20*Inputs!$C$7</f>
        <v>118.06428470589735</v>
      </c>
      <c r="D26" s="627"/>
      <c r="E26" s="626">
        <f>E20*Inputs!$C$7</f>
        <v>118.06428470589735</v>
      </c>
      <c r="F26" s="628"/>
      <c r="G26" s="627">
        <f>G20*Inputs!$C$7</f>
        <v>118.06428470589732</v>
      </c>
      <c r="H26" s="627">
        <f>H20*Inputs!$C$7</f>
        <v>118.06428470589732</v>
      </c>
      <c r="I26" s="626">
        <f>I20*Inputs!$C$7</f>
        <v>118.06428470589732</v>
      </c>
      <c r="J26" s="628"/>
      <c r="K26" s="627">
        <f>K20*Inputs!$C$7</f>
        <v>118.06428470589732</v>
      </c>
      <c r="L26" s="627">
        <f>L20*Inputs!$C$7</f>
        <v>118.06428470589732</v>
      </c>
      <c r="M26" s="626">
        <f>M20*Inputs!$C$7</f>
        <v>118.06428470589735</v>
      </c>
    </row>
    <row r="27" spans="1:13">
      <c r="A27" s="114" t="s">
        <v>380</v>
      </c>
      <c r="B27" s="147"/>
      <c r="C27" s="97">
        <f t="shared" ref="C27:M27" si="3">SUM(C24:C26)</f>
        <v>483.27704960449188</v>
      </c>
      <c r="D27" s="97"/>
      <c r="E27" s="99">
        <f t="shared" si="3"/>
        <v>483.27704960449188</v>
      </c>
      <c r="F27" s="147"/>
      <c r="G27" s="97">
        <f t="shared" si="3"/>
        <v>6589.2670804947693</v>
      </c>
      <c r="H27" s="97">
        <f t="shared" si="3"/>
        <v>11841.200236457216</v>
      </c>
      <c r="I27" s="99">
        <f t="shared" si="3"/>
        <v>8840.0955759072458</v>
      </c>
      <c r="J27" s="147"/>
      <c r="K27" s="97">
        <f t="shared" si="3"/>
        <v>1919.9805862845569</v>
      </c>
      <c r="L27" s="97">
        <f t="shared" si="3"/>
        <v>11841.200236457216</v>
      </c>
      <c r="M27" s="99">
        <f t="shared" si="3"/>
        <v>3408.1635338104575</v>
      </c>
    </row>
    <row r="28" spans="1:13">
      <c r="A28" s="53"/>
      <c r="B28" s="142"/>
      <c r="C28" s="34"/>
      <c r="D28" s="34"/>
      <c r="E28" s="44"/>
      <c r="F28" s="142"/>
      <c r="G28" s="34"/>
      <c r="H28" s="34"/>
      <c r="I28" s="44"/>
      <c r="J28" s="142"/>
      <c r="K28" s="34"/>
      <c r="L28" s="34"/>
      <c r="M28" s="44"/>
    </row>
    <row r="29" spans="1:13">
      <c r="A29" s="40" t="s">
        <v>50</v>
      </c>
      <c r="B29" s="142"/>
      <c r="C29" s="34">
        <f>'Sch A6-TOU TSM Summary'!C$29*Inputs!$C$13</f>
        <v>59.701999424106731</v>
      </c>
      <c r="D29" s="34"/>
      <c r="E29" s="44">
        <f>'Sch A6-TOU TSM Summary'!E$29*Inputs!$C$13</f>
        <v>59.701999424106731</v>
      </c>
      <c r="F29" s="142"/>
      <c r="G29" s="34">
        <f>'Sch A6-TOU TSM Summary'!G$29*Inputs!$C$13</f>
        <v>1186.5631822852838</v>
      </c>
      <c r="H29" s="34">
        <f>'Sch A6-TOU TSM Summary'!H$29*Inputs!$C$13</f>
        <v>1186.5631822852838</v>
      </c>
      <c r="I29" s="44">
        <f>'Sch A6-TOU TSM Summary'!I$29*Inputs!$C$13</f>
        <v>1186.5631822852838</v>
      </c>
      <c r="J29" s="142"/>
      <c r="K29" s="34">
        <f>'Sch A6-TOU TSM Summary'!K$29*Inputs!$C$13</f>
        <v>454.10341342551862</v>
      </c>
      <c r="L29" s="34">
        <f>'Sch A6-TOU TSM Summary'!L$29*Inputs!$C$13</f>
        <v>454.10341342551862</v>
      </c>
      <c r="M29" s="44">
        <f>'Sch A6-TOU TSM Summary'!M$29*Inputs!$C$13</f>
        <v>454.10341342551862</v>
      </c>
    </row>
    <row r="30" spans="1:13" ht="15">
      <c r="A30" s="40" t="s">
        <v>453</v>
      </c>
      <c r="B30" s="142"/>
      <c r="C30" s="729">
        <f>-Inputs!$C$18</f>
        <v>-3.0284021924274875</v>
      </c>
      <c r="D30" s="34"/>
      <c r="E30" s="731">
        <f>-Inputs!$C$18</f>
        <v>-3.0284021924274875</v>
      </c>
      <c r="F30" s="142"/>
      <c r="G30" s="729">
        <f>-Inputs!$C$18</f>
        <v>-3.0284021924274875</v>
      </c>
      <c r="H30" s="729">
        <f>-Inputs!$C$18</f>
        <v>-3.0284021924274875</v>
      </c>
      <c r="I30" s="731">
        <f>-Inputs!$C$18</f>
        <v>-3.0284021924274875</v>
      </c>
      <c r="J30" s="142"/>
      <c r="K30" s="729">
        <f>-Inputs!$C$18</f>
        <v>-3.0284021924274875</v>
      </c>
      <c r="L30" s="729">
        <f>-Inputs!$C$18</f>
        <v>-3.0284021924274875</v>
      </c>
      <c r="M30" s="731">
        <f>-Inputs!$C$18</f>
        <v>-3.0284021924274875</v>
      </c>
    </row>
    <row r="31" spans="1:13">
      <c r="A31" s="40" t="s">
        <v>451</v>
      </c>
      <c r="B31" s="142"/>
      <c r="C31" s="34">
        <f>C29+C30</f>
        <v>56.673597231679246</v>
      </c>
      <c r="D31" s="34"/>
      <c r="E31" s="44">
        <f>E29+E30</f>
        <v>56.673597231679246</v>
      </c>
      <c r="F31" s="142"/>
      <c r="G31" s="34">
        <f>G29+G30</f>
        <v>1183.5347800928564</v>
      </c>
      <c r="H31" s="34">
        <f>H29+H30</f>
        <v>1183.5347800928564</v>
      </c>
      <c r="I31" s="44">
        <f>I29+I30</f>
        <v>1183.5347800928564</v>
      </c>
      <c r="J31" s="142"/>
      <c r="K31" s="34">
        <f>K29+K30</f>
        <v>451.07501123309112</v>
      </c>
      <c r="L31" s="34">
        <f>L29+L30</f>
        <v>451.07501123309112</v>
      </c>
      <c r="M31" s="44">
        <f>M29+M30</f>
        <v>451.07501123309112</v>
      </c>
    </row>
    <row r="32" spans="1:13">
      <c r="A32" s="11"/>
      <c r="B32" s="142"/>
      <c r="C32" s="34"/>
      <c r="D32" s="34"/>
      <c r="E32" s="44"/>
      <c r="F32" s="142"/>
      <c r="G32" s="34"/>
      <c r="H32" s="34"/>
      <c r="I32" s="44"/>
      <c r="J32" s="142"/>
      <c r="K32" s="34"/>
      <c r="L32" s="34"/>
      <c r="M32" s="44"/>
    </row>
    <row r="33" spans="1:13">
      <c r="A33" s="40" t="s">
        <v>61</v>
      </c>
      <c r="B33" s="142"/>
      <c r="C33" s="34">
        <f>'Sch A6-TOU TSM Summary'!C31*Inputs!$C$14</f>
        <v>481.55031066335573</v>
      </c>
      <c r="D33" s="34"/>
      <c r="E33" s="44">
        <f>'Sch A6-TOU TSM Summary'!E31*Inputs!$C$14</f>
        <v>481.55031066335573</v>
      </c>
      <c r="F33" s="142"/>
      <c r="G33" s="34">
        <f>'Sch A6-TOU TSM Summary'!G31*Inputs!$C$14</f>
        <v>481.55031066335573</v>
      </c>
      <c r="H33" s="34">
        <f>'Sch A6-TOU TSM Summary'!H31*Inputs!$C$14</f>
        <v>481.55031066335573</v>
      </c>
      <c r="I33" s="44">
        <f>'Sch A6-TOU TSM Summary'!I31*Inputs!$C$14</f>
        <v>481.55031066335573</v>
      </c>
      <c r="J33" s="142"/>
      <c r="K33" s="34">
        <f>'Sch A6-TOU TSM Summary'!K31*Inputs!$C$14</f>
        <v>481.55031066335573</v>
      </c>
      <c r="L33" s="34">
        <f>'Sch A6-TOU TSM Summary'!L31*Inputs!$C$14</f>
        <v>481.55031066335573</v>
      </c>
      <c r="M33" s="44">
        <f>'Sch A6-TOU TSM Summary'!M31*Inputs!$C$14</f>
        <v>481.55031066335573</v>
      </c>
    </row>
    <row r="34" spans="1:13" ht="13.5" thickBot="1">
      <c r="A34" s="11"/>
      <c r="B34" s="144"/>
      <c r="C34" s="115"/>
      <c r="D34" s="115"/>
      <c r="E34" s="116"/>
      <c r="F34" s="144"/>
      <c r="G34" s="115"/>
      <c r="H34" s="115"/>
      <c r="I34" s="116"/>
      <c r="J34" s="144"/>
      <c r="K34" s="115"/>
      <c r="L34" s="115"/>
      <c r="M34" s="116"/>
    </row>
    <row r="35" spans="1:13" ht="13.5" thickBot="1">
      <c r="A35" s="370" t="s">
        <v>165</v>
      </c>
      <c r="B35" s="371"/>
      <c r="C35" s="372">
        <f t="shared" ref="C35:M35" si="4">C27+C31+C33</f>
        <v>1021.5009574995269</v>
      </c>
      <c r="D35" s="372"/>
      <c r="E35" s="383">
        <f t="shared" si="4"/>
        <v>1021.5009574995269</v>
      </c>
      <c r="F35" s="372"/>
      <c r="G35" s="372">
        <f t="shared" si="4"/>
        <v>8254.352171250981</v>
      </c>
      <c r="H35" s="372">
        <f t="shared" si="4"/>
        <v>13506.285327213427</v>
      </c>
      <c r="I35" s="372">
        <f t="shared" si="4"/>
        <v>10505.180666663457</v>
      </c>
      <c r="J35" s="371"/>
      <c r="K35" s="372">
        <f t="shared" si="4"/>
        <v>2852.6059081810035</v>
      </c>
      <c r="L35" s="372">
        <f t="shared" si="4"/>
        <v>12773.825558353663</v>
      </c>
      <c r="M35" s="383">
        <f t="shared" si="4"/>
        <v>4340.7888557069045</v>
      </c>
    </row>
    <row r="36" spans="1:13">
      <c r="B36" s="18"/>
      <c r="C36" s="18"/>
      <c r="D36" s="13"/>
      <c r="E36" s="13"/>
      <c r="F36" s="13"/>
      <c r="G36" s="13"/>
      <c r="H36" s="13"/>
      <c r="I36" s="13"/>
    </row>
    <row r="38" spans="1:13">
      <c r="A38" t="s">
        <v>3</v>
      </c>
    </row>
    <row r="46" spans="1:13">
      <c r="A46" s="19"/>
    </row>
    <row r="58" spans="1:1">
      <c r="A58" s="19"/>
    </row>
  </sheetData>
  <mergeCells count="4">
    <mergeCell ref="B2:E2"/>
    <mergeCell ref="F2:I2"/>
    <mergeCell ref="J2:M2"/>
    <mergeCell ref="A1:M1"/>
  </mergeCells>
  <printOptions horizontalCentered="1"/>
  <pageMargins left="0.75" right="0.75" top="1" bottom="1" header="0.5" footer="0.5"/>
  <pageSetup scale="41" orientation="portrait" r:id="rId1"/>
  <headerFooter alignWithMargins="0">
    <oddFooter>&amp;L&amp;F
&amp;A&amp;R&amp;P of &amp;N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sheetPr codeName="Sheet73">
    <tabColor rgb="FF0070C0"/>
    <pageSetUpPr fitToPage="1"/>
  </sheetPr>
  <dimension ref="A1:J56"/>
  <sheetViews>
    <sheetView zoomScaleNormal="100" workbookViewId="0">
      <selection activeCell="A24" sqref="A24:A26"/>
    </sheetView>
  </sheetViews>
  <sheetFormatPr defaultRowHeight="12.75"/>
  <cols>
    <col min="1" max="1" width="40.7109375" customWidth="1"/>
    <col min="2" max="2" width="10.28515625" bestFit="1" customWidth="1"/>
    <col min="3" max="4" width="10.28515625" style="12" bestFit="1" customWidth="1"/>
    <col min="5" max="5" width="9.28515625" style="12" bestFit="1" customWidth="1"/>
    <col min="6" max="7" width="10.28515625" style="12" bestFit="1" customWidth="1"/>
    <col min="8" max="10" width="10.28515625" bestFit="1" customWidth="1"/>
  </cols>
  <sheetData>
    <row r="1" spans="1:10" ht="18.75" thickBot="1">
      <c r="A1" s="826" t="s">
        <v>247</v>
      </c>
      <c r="B1" s="826"/>
      <c r="C1" s="826"/>
      <c r="D1" s="826"/>
      <c r="E1" s="826"/>
      <c r="F1" s="826"/>
      <c r="G1" s="826"/>
      <c r="H1" s="826"/>
      <c r="I1" s="826"/>
      <c r="J1" s="826"/>
    </row>
    <row r="2" spans="1:10" ht="13.5" thickBot="1">
      <c r="A2" s="131"/>
      <c r="B2" s="828" t="s">
        <v>0</v>
      </c>
      <c r="C2" s="828"/>
      <c r="D2" s="829"/>
      <c r="E2" s="828" t="s">
        <v>1</v>
      </c>
      <c r="F2" s="828"/>
      <c r="G2" s="829"/>
      <c r="H2" s="828" t="s">
        <v>244</v>
      </c>
      <c r="I2" s="828"/>
      <c r="J2" s="829"/>
    </row>
    <row r="3" spans="1:10" ht="13.5" thickBot="1">
      <c r="A3" s="102" t="s">
        <v>47</v>
      </c>
      <c r="B3" s="612" t="s">
        <v>243</v>
      </c>
      <c r="C3" s="612" t="s">
        <v>174</v>
      </c>
      <c r="D3" s="613" t="s">
        <v>167</v>
      </c>
      <c r="E3" s="612" t="s">
        <v>243</v>
      </c>
      <c r="F3" s="612" t="s">
        <v>174</v>
      </c>
      <c r="G3" s="613" t="s">
        <v>168</v>
      </c>
      <c r="H3" s="612" t="s">
        <v>243</v>
      </c>
      <c r="I3" s="612" t="s">
        <v>174</v>
      </c>
      <c r="J3" s="613" t="s">
        <v>2</v>
      </c>
    </row>
    <row r="4" spans="1:10">
      <c r="A4" s="39"/>
      <c r="B4" s="5"/>
      <c r="C4" s="6"/>
      <c r="D4" s="7"/>
      <c r="E4" s="5"/>
      <c r="F4" s="6"/>
      <c r="G4" s="7"/>
      <c r="H4" s="5"/>
      <c r="I4" s="6"/>
      <c r="J4" s="7"/>
    </row>
    <row r="5" spans="1:10">
      <c r="A5" s="40"/>
      <c r="B5" s="132"/>
      <c r="C5" s="8"/>
      <c r="D5" s="9"/>
      <c r="E5" s="132"/>
      <c r="F5" s="8"/>
      <c r="G5" s="9"/>
      <c r="H5" s="132"/>
      <c r="I5" s="8"/>
      <c r="J5" s="9"/>
    </row>
    <row r="6" spans="1:10">
      <c r="A6" s="40" t="s">
        <v>49</v>
      </c>
      <c r="B6" s="142"/>
      <c r="C6" s="34"/>
      <c r="D6" s="44"/>
      <c r="E6" s="142"/>
      <c r="F6" s="34"/>
      <c r="G6" s="44"/>
      <c r="H6" s="142"/>
      <c r="I6" s="34"/>
      <c r="J6" s="44"/>
    </row>
    <row r="7" spans="1:10">
      <c r="A7" s="41"/>
      <c r="B7" s="142"/>
      <c r="C7" s="34"/>
      <c r="D7" s="44"/>
      <c r="E7" s="142"/>
      <c r="F7" s="34"/>
      <c r="G7" s="44"/>
      <c r="H7" s="142"/>
      <c r="I7" s="34"/>
      <c r="J7" s="44"/>
    </row>
    <row r="8" spans="1:10">
      <c r="A8" s="40" t="s">
        <v>53</v>
      </c>
      <c r="B8" s="143">
        <f>('Sch PA-T-1 TSM Summary'!B8*'Sch PA-T-1 Cust Fcst'!$F$39+'Sch TOU-PA TSM Summary'!B8*'Sch TOU-PA Cust Fcst'!$F$39)/('Sch PA-T-1 Cust Fcst'!$F$39+'Sch TOU-PA Cust Fcst'!$F$39)</f>
        <v>1259.3144454430685</v>
      </c>
      <c r="C8" s="163">
        <f>('Sch PA-T-1 TSM Summary'!C8*'Sch PA-T-1 Cust Fcst'!$F$40+'Sch TOU-PA TSM Summary'!C8*'Sch TOU-PA Cust Fcst'!$F$40)/('Sch PA-T-1 Cust Fcst'!$F$40+'Sch TOU-PA Cust Fcst'!$F$40)</f>
        <v>9604.3762614176248</v>
      </c>
      <c r="D8" s="49">
        <f>('Sch PA-T-1 TSM Summary'!D8*'Sch PA-T-1 Cust Fcst'!$F$38+'Sch TOU-PA TSM Summary'!D8*'Sch TOU-PA Cust Fcst'!$F$38)/('Sch PA-T-1 Cust Fcst'!$F$38+'Sch TOU-PA Cust Fcst'!$F$38)</f>
        <v>3546.7933188574134</v>
      </c>
      <c r="E8" s="143">
        <f>('Sch PA-T-1 TSM Summary'!E8*'Sch PA-T-1 Cust Fcst'!$G$39+'Sch TOU-PA TSM Summary'!E8*'Sch TOU-PA Cust Fcst'!$G$39)/('Sch PA-T-1 Cust Fcst'!$G$39+'Sch TOU-PA Cust Fcst'!$G$39)</f>
        <v>0</v>
      </c>
      <c r="F8" s="163">
        <f>('Sch PA-T-1 TSM Summary'!F8*'Sch PA-T-1 Cust Fcst'!$G$40+'Sch TOU-PA TSM Summary'!F8*'Sch TOU-PA Cust Fcst'!$G$40)/('Sch PA-T-1 Cust Fcst'!$G$40+'Sch TOU-PA Cust Fcst'!$G$40)</f>
        <v>0</v>
      </c>
      <c r="G8" s="49">
        <f>('Sch PA-T-1 TSM Summary'!G8*'Sch PA-T-1 Cust Fcst'!$G$38+'Sch TOU-PA TSM Summary'!G8*'Sch TOU-PA Cust Fcst'!$G$38)/('Sch PA-T-1 Cust Fcst'!$G$38+'Sch TOU-PA Cust Fcst'!$G$38)</f>
        <v>0</v>
      </c>
      <c r="H8" s="143">
        <f>('Sch PA-T-1 TSM Summary'!H8*'Sch PA-T-1 Cust Fcst'!$H$39+'Sch TOU-PA TSM Summary'!H8*'Sch TOU-PA Cust Fcst'!$H$39)/('Sch PA-T-1 Cust Fcst'!$H$39+'Sch TOU-PA Cust Fcst'!$H$39)</f>
        <v>1258.8742796110369</v>
      </c>
      <c r="I8" s="163">
        <f>('Sch PA-T-1 TSM Summary'!I8*'Sch PA-T-1 Cust Fcst'!$H$40+'Sch TOU-PA TSM Summary'!I8*'Sch TOU-PA Cust Fcst'!$H$40)/('Sch PA-T-1 Cust Fcst'!$H$40+'Sch TOU-PA Cust Fcst'!$H$40)</f>
        <v>9387.0826808425627</v>
      </c>
      <c r="J8" s="49">
        <f>('Sch PA-T-1 TSM Summary'!J8*'Sch PA-T-1 Cust Fcst'!$H$38+'Sch TOU-PA TSM Summary'!J8*'Sch TOU-PA Cust Fcst'!$H$38)/('Sch PA-T-1 Cust Fcst'!$H$38+'Sch TOU-PA Cust Fcst'!$H$38)</f>
        <v>3523.5415220116511</v>
      </c>
    </row>
    <row r="9" spans="1:10">
      <c r="A9" s="40" t="s">
        <v>51</v>
      </c>
      <c r="B9" s="143">
        <f>('Sch PA-T-1 TSM Summary'!B9*'Sch PA-T-1 Cust Fcst'!$F$39+'Sch TOU-PA TSM Summary'!B9*'Sch TOU-PA Cust Fcst'!$F$39)/('Sch PA-T-1 Cust Fcst'!$F$39+'Sch TOU-PA Cust Fcst'!$F$39)</f>
        <v>358.61296248677905</v>
      </c>
      <c r="C9" s="163">
        <f>('Sch PA-T-1 TSM Summary'!C9*'Sch PA-T-1 Cust Fcst'!$F$40+'Sch TOU-PA TSM Summary'!C9*'Sch TOU-PA Cust Fcst'!$F$40)/('Sch PA-T-1 Cust Fcst'!$F$40+'Sch TOU-PA Cust Fcst'!$F$40)</f>
        <v>1406.276709895455</v>
      </c>
      <c r="D9" s="49">
        <f>('Sch PA-T-1 TSM Summary'!D9*'Sch PA-T-1 Cust Fcst'!$F$38+'Sch TOU-PA TSM Summary'!D9*'Sch TOU-PA Cust Fcst'!$F$38)/('Sch PA-T-1 Cust Fcst'!$F$38+'Sch TOU-PA Cust Fcst'!$F$38)</f>
        <v>645.78982725870026</v>
      </c>
      <c r="E9" s="143">
        <f>('Sch PA-T-1 TSM Summary'!E9*'Sch PA-T-1 Cust Fcst'!$G$39+'Sch TOU-PA TSM Summary'!E9*'Sch TOU-PA Cust Fcst'!$G$39)/('Sch PA-T-1 Cust Fcst'!$G$39+'Sch TOU-PA Cust Fcst'!$G$39)</f>
        <v>3129.9273129422195</v>
      </c>
      <c r="F9" s="163">
        <f>('Sch PA-T-1 TSM Summary'!F9*'Sch PA-T-1 Cust Fcst'!$G$40+'Sch TOU-PA TSM Summary'!F9*'Sch TOU-PA Cust Fcst'!$G$40)/('Sch PA-T-1 Cust Fcst'!$G$40+'Sch TOU-PA Cust Fcst'!$G$40)</f>
        <v>4058.5275674737627</v>
      </c>
      <c r="G9" s="49">
        <f>('Sch PA-T-1 TSM Summary'!G9*'Sch PA-T-1 Cust Fcst'!$G$38+'Sch TOU-PA TSM Summary'!G9*'Sch TOU-PA Cust Fcst'!$G$38)/('Sch PA-T-1 Cust Fcst'!$G$38+'Sch TOU-PA Cust Fcst'!$G$38)</f>
        <v>4022.8121730687035</v>
      </c>
      <c r="H9" s="143">
        <f>('Sch PA-T-1 TSM Summary'!H9*'Sch PA-T-1 Cust Fcst'!$H$39+'Sch TOU-PA TSM Summary'!H9*'Sch TOU-PA Cust Fcst'!$H$39)/('Sch PA-T-1 Cust Fcst'!$H$39+'Sch TOU-PA Cust Fcst'!$H$39)</f>
        <v>359.58161482877676</v>
      </c>
      <c r="I9" s="163">
        <f>('Sch PA-T-1 TSM Summary'!I9*'Sch PA-T-1 Cust Fcst'!$H$40+'Sch TOU-PA TSM Summary'!I9*'Sch TOU-PA Cust Fcst'!$H$40)/('Sch PA-T-1 Cust Fcst'!$H$40+'Sch TOU-PA Cust Fcst'!$H$40)</f>
        <v>1466.2823854062765</v>
      </c>
      <c r="J9" s="49">
        <f>('Sch PA-T-1 TSM Summary'!J9*'Sch PA-T-1 Cust Fcst'!$H$38+'Sch TOU-PA TSM Summary'!J9*'Sch TOU-PA Cust Fcst'!$H$38)/('Sch PA-T-1 Cust Fcst'!$H$38+'Sch TOU-PA Cust Fcst'!$H$38)</f>
        <v>667.92865252119657</v>
      </c>
    </row>
    <row r="10" spans="1:10">
      <c r="A10" s="40" t="s">
        <v>52</v>
      </c>
      <c r="B10" s="143">
        <f>('Sch PA-T-1 TSM Summary'!B10*'Sch PA-T-1 Cust Fcst'!$F$39+'Sch TOU-PA TSM Summary'!B10*'Sch TOU-PA Cust Fcst'!$F$39)/('Sch PA-T-1 Cust Fcst'!$F$39+'Sch TOU-PA Cust Fcst'!$F$39)</f>
        <v>263.69128896600819</v>
      </c>
      <c r="C10" s="163">
        <f>('Sch PA-T-1 TSM Summary'!C10*'Sch PA-T-1 Cust Fcst'!$F$40+'Sch TOU-PA TSM Summary'!C10*'Sch TOU-PA Cust Fcst'!$F$40)/('Sch PA-T-1 Cust Fcst'!$F$40+'Sch TOU-PA Cust Fcst'!$F$40)</f>
        <v>447.90669304092427</v>
      </c>
      <c r="D10" s="49">
        <f>('Sch PA-T-1 TSM Summary'!D10*'Sch PA-T-1 Cust Fcst'!$F$38+'Sch TOU-PA TSM Summary'!D10*'Sch TOU-PA Cust Fcst'!$F$38)/('Sch PA-T-1 Cust Fcst'!$F$38+'Sch TOU-PA Cust Fcst'!$F$38)</f>
        <v>314.18688196116278</v>
      </c>
      <c r="E10" s="143">
        <f>('Sch PA-T-1 TSM Summary'!E10*'Sch PA-T-1 Cust Fcst'!$G$39+'Sch TOU-PA TSM Summary'!E10*'Sch TOU-PA Cust Fcst'!$G$39)/('Sch PA-T-1 Cust Fcst'!$G$39+'Sch TOU-PA Cust Fcst'!$G$39)</f>
        <v>865.67585029149416</v>
      </c>
      <c r="F10" s="163">
        <f>('Sch PA-T-1 TSM Summary'!F10*'Sch PA-T-1 Cust Fcst'!$G$40+'Sch TOU-PA TSM Summary'!F10*'Sch TOU-PA Cust Fcst'!$G$40)/('Sch PA-T-1 Cust Fcst'!$G$40+'Sch TOU-PA Cust Fcst'!$G$40)</f>
        <v>967.8216383526044</v>
      </c>
      <c r="G10" s="49">
        <f>('Sch PA-T-1 TSM Summary'!G10*'Sch PA-T-1 Cust Fcst'!$G$38+'Sch TOU-PA TSM Summary'!G10*'Sch TOU-PA Cust Fcst'!$G$38)/('Sch PA-T-1 Cust Fcst'!$G$38+'Sch TOU-PA Cust Fcst'!$G$38)</f>
        <v>963.89295419640791</v>
      </c>
      <c r="H10" s="143">
        <f>('Sch PA-T-1 TSM Summary'!H10*'Sch PA-T-1 Cust Fcst'!$H$39+'Sch TOU-PA TSM Summary'!H10*'Sch TOU-PA Cust Fcst'!$H$39)/('Sch PA-T-1 Cust Fcst'!$H$39+'Sch TOU-PA Cust Fcst'!$H$39)</f>
        <v>263.90169950824009</v>
      </c>
      <c r="I10" s="163">
        <f>('Sch PA-T-1 TSM Summary'!I10*'Sch PA-T-1 Cust Fcst'!$H$40+'Sch TOU-PA TSM Summary'!I10*'Sch TOU-PA Cust Fcst'!$H$40)/('Sch PA-T-1 Cust Fcst'!$H$40+'Sch TOU-PA Cust Fcst'!$H$40)</f>
        <v>459.66947460906181</v>
      </c>
      <c r="J10" s="49">
        <f>('Sch PA-T-1 TSM Summary'!J10*'Sch PA-T-1 Cust Fcst'!$H$38+'Sch TOU-PA TSM Summary'!J10*'Sch TOU-PA Cust Fcst'!$H$38)/('Sch PA-T-1 Cust Fcst'!$H$38+'Sch TOU-PA Cust Fcst'!$H$38)</f>
        <v>318.44617542513572</v>
      </c>
    </row>
    <row r="11" spans="1:10">
      <c r="A11" s="42"/>
      <c r="B11" s="142"/>
      <c r="C11" s="34"/>
      <c r="D11" s="44"/>
      <c r="E11" s="142"/>
      <c r="F11" s="34"/>
      <c r="G11" s="44"/>
      <c r="H11" s="142"/>
      <c r="I11" s="34"/>
      <c r="J11" s="44"/>
    </row>
    <row r="12" spans="1:10">
      <c r="A12" s="40" t="s">
        <v>35</v>
      </c>
      <c r="B12" s="142">
        <f t="shared" ref="B12:J12" si="0">SUM(B8:B10)</f>
        <v>1881.6186968958557</v>
      </c>
      <c r="C12" s="34">
        <f t="shared" si="0"/>
        <v>11458.559664354005</v>
      </c>
      <c r="D12" s="44">
        <f t="shared" si="0"/>
        <v>4506.770028077276</v>
      </c>
      <c r="E12" s="142">
        <f t="shared" si="0"/>
        <v>3995.6031632337135</v>
      </c>
      <c r="F12" s="34">
        <f t="shared" si="0"/>
        <v>5026.3492058263673</v>
      </c>
      <c r="G12" s="44">
        <f t="shared" si="0"/>
        <v>4986.7051272651115</v>
      </c>
      <c r="H12" s="142">
        <f t="shared" si="0"/>
        <v>1882.3575939480538</v>
      </c>
      <c r="I12" s="34">
        <f t="shared" si="0"/>
        <v>11313.034540857901</v>
      </c>
      <c r="J12" s="44">
        <f t="shared" si="0"/>
        <v>4509.9163499579836</v>
      </c>
    </row>
    <row r="13" spans="1:10">
      <c r="A13" s="42"/>
      <c r="B13" s="142"/>
      <c r="C13" s="34"/>
      <c r="D13" s="44"/>
      <c r="E13" s="142"/>
      <c r="F13" s="34"/>
      <c r="G13" s="44"/>
      <c r="H13" s="142"/>
      <c r="I13" s="34"/>
      <c r="J13" s="44"/>
    </row>
    <row r="14" spans="1:10">
      <c r="A14" s="40" t="s">
        <v>65</v>
      </c>
      <c r="B14" s="142"/>
      <c r="C14" s="34"/>
      <c r="D14" s="44"/>
      <c r="E14" s="142"/>
      <c r="F14" s="34"/>
      <c r="G14" s="44"/>
      <c r="H14" s="142"/>
      <c r="I14" s="34"/>
      <c r="J14" s="44"/>
    </row>
    <row r="15" spans="1:10">
      <c r="A15" s="53">
        <f>Inputs!C3</f>
        <v>2.7723662892949787E-2</v>
      </c>
      <c r="B15" s="142"/>
      <c r="C15" s="34"/>
      <c r="D15" s="44"/>
      <c r="E15" s="142"/>
      <c r="F15" s="34"/>
      <c r="G15" s="44"/>
      <c r="H15" s="142"/>
      <c r="I15" s="34"/>
      <c r="J15" s="44"/>
    </row>
    <row r="16" spans="1:10">
      <c r="A16" s="40" t="s">
        <v>64</v>
      </c>
      <c r="B16" s="142"/>
      <c r="C16" s="34"/>
      <c r="D16" s="44"/>
      <c r="E16" s="142"/>
      <c r="F16" s="34"/>
      <c r="G16" s="44"/>
      <c r="H16" s="142"/>
      <c r="I16" s="34"/>
      <c r="J16" s="44"/>
    </row>
    <row r="17" spans="1:10">
      <c r="A17" s="53">
        <f>Inputs!C4</f>
        <v>1.5023E-2</v>
      </c>
      <c r="B17" s="142"/>
      <c r="C17" s="34"/>
      <c r="D17" s="44"/>
      <c r="E17" s="142"/>
      <c r="F17" s="34"/>
      <c r="G17" s="44"/>
      <c r="H17" s="142"/>
      <c r="I17" s="34"/>
      <c r="J17" s="44"/>
    </row>
    <row r="18" spans="1:10">
      <c r="A18" s="122" t="s">
        <v>111</v>
      </c>
      <c r="B18" s="142">
        <f t="shared" ref="B18:J20" si="1">(B8*(1+$A$15)*(1+$A$17))</f>
        <v>1313.6704306506813</v>
      </c>
      <c r="C18" s="34">
        <f t="shared" si="1"/>
        <v>10018.931447283288</v>
      </c>
      <c r="D18" s="44">
        <f t="shared" si="1"/>
        <v>3699.8841103367758</v>
      </c>
      <c r="E18" s="142">
        <f t="shared" si="1"/>
        <v>0</v>
      </c>
      <c r="F18" s="34">
        <f t="shared" si="1"/>
        <v>0</v>
      </c>
      <c r="G18" s="44">
        <f t="shared" si="1"/>
        <v>0</v>
      </c>
      <c r="H18" s="142">
        <f t="shared" si="1"/>
        <v>1313.2112658724045</v>
      </c>
      <c r="I18" s="34">
        <f t="shared" si="1"/>
        <v>9792.2587901049283</v>
      </c>
      <c r="J18" s="44">
        <f t="shared" si="1"/>
        <v>3675.6286925685572</v>
      </c>
    </row>
    <row r="19" spans="1:10">
      <c r="A19" s="122" t="s">
        <v>51</v>
      </c>
      <c r="B19" s="142">
        <f t="shared" si="1"/>
        <v>374.09182954395112</v>
      </c>
      <c r="C19" s="34">
        <f t="shared" si="1"/>
        <v>1466.9760501734058</v>
      </c>
      <c r="D19" s="44">
        <f t="shared" si="1"/>
        <v>673.66415398045126</v>
      </c>
      <c r="E19" s="142">
        <f t="shared" si="1"/>
        <v>3265.0248521936915</v>
      </c>
      <c r="F19" s="34">
        <f t="shared" si="1"/>
        <v>4233.7064238908961</v>
      </c>
      <c r="G19" s="44">
        <f t="shared" si="1"/>
        <v>4196.4494403640811</v>
      </c>
      <c r="H19" s="142">
        <f t="shared" si="1"/>
        <v>375.10229197759315</v>
      </c>
      <c r="I19" s="34">
        <f t="shared" si="1"/>
        <v>1529.5717599860188</v>
      </c>
      <c r="J19" s="44">
        <f t="shared" si="1"/>
        <v>696.75856079991036</v>
      </c>
    </row>
    <row r="20" spans="1:10">
      <c r="A20" s="122" t="s">
        <v>52</v>
      </c>
      <c r="B20" s="142">
        <f t="shared" si="1"/>
        <v>275.07303707052534</v>
      </c>
      <c r="C20" s="34">
        <f t="shared" si="1"/>
        <v>467.23975927344685</v>
      </c>
      <c r="D20" s="44">
        <f t="shared" si="1"/>
        <v>327.74817919721443</v>
      </c>
      <c r="E20" s="142">
        <f t="shared" si="1"/>
        <v>903.04115161341838</v>
      </c>
      <c r="F20" s="34">
        <f t="shared" si="1"/>
        <v>1009.5958742062978</v>
      </c>
      <c r="G20" s="44">
        <f t="shared" si="1"/>
        <v>1005.4976156450333</v>
      </c>
      <c r="H20" s="142">
        <f t="shared" si="1"/>
        <v>275.29252959570636</v>
      </c>
      <c r="I20" s="34">
        <f t="shared" si="1"/>
        <v>479.51025961129415</v>
      </c>
      <c r="J20" s="44">
        <f t="shared" si="1"/>
        <v>332.19131720721032</v>
      </c>
    </row>
    <row r="21" spans="1:10">
      <c r="A21" s="40"/>
      <c r="B21" s="147"/>
      <c r="C21" s="97"/>
      <c r="D21" s="99"/>
      <c r="E21" s="147"/>
      <c r="F21" s="97"/>
      <c r="G21" s="99"/>
      <c r="H21" s="147"/>
      <c r="I21" s="97"/>
      <c r="J21" s="99"/>
    </row>
    <row r="22" spans="1:10">
      <c r="A22" s="40" t="s">
        <v>35</v>
      </c>
      <c r="B22" s="147">
        <f t="shared" ref="B22:J22" si="2">B18+B19+B20</f>
        <v>1962.8352972651576</v>
      </c>
      <c r="C22" s="97">
        <f t="shared" si="2"/>
        <v>11953.147256730141</v>
      </c>
      <c r="D22" s="99">
        <f t="shared" si="2"/>
        <v>4701.2964435144413</v>
      </c>
      <c r="E22" s="147">
        <f t="shared" si="2"/>
        <v>4168.0660038071101</v>
      </c>
      <c r="F22" s="97">
        <f t="shared" si="2"/>
        <v>5243.3022980971937</v>
      </c>
      <c r="G22" s="99">
        <f t="shared" si="2"/>
        <v>5201.947056009114</v>
      </c>
      <c r="H22" s="147">
        <f t="shared" si="2"/>
        <v>1963.6060874457041</v>
      </c>
      <c r="I22" s="97">
        <f t="shared" si="2"/>
        <v>11801.34080970224</v>
      </c>
      <c r="J22" s="99">
        <f t="shared" si="2"/>
        <v>4704.578570575678</v>
      </c>
    </row>
    <row r="23" spans="1:10">
      <c r="A23" s="40"/>
      <c r="B23" s="142"/>
      <c r="C23" s="34"/>
      <c r="D23" s="44"/>
      <c r="E23" s="142"/>
      <c r="F23" s="34"/>
      <c r="G23" s="44"/>
      <c r="H23" s="142"/>
      <c r="I23" s="34"/>
      <c r="J23" s="44"/>
    </row>
    <row r="24" spans="1:10">
      <c r="A24" s="805" t="str">
        <f>'Resid TSM Sum by Rate Schedule'!A25</f>
        <v>Annualized Transformer Cost at 8.05%</v>
      </c>
      <c r="B24" s="147">
        <f>B18*Inputs!$C$5</f>
        <v>105.72243926861272</v>
      </c>
      <c r="C24" s="97">
        <f>C18*Inputs!$C$5</f>
        <v>806.31020289247942</v>
      </c>
      <c r="D24" s="99">
        <f>D18*Inputs!$C$5</f>
        <v>297.76172472896189</v>
      </c>
      <c r="E24" s="147">
        <f>E18*Inputs!$C$5</f>
        <v>0</v>
      </c>
      <c r="F24" s="97">
        <f>F18*Inputs!$C$5</f>
        <v>0</v>
      </c>
      <c r="G24" s="99">
        <f>G18*Inputs!$C$5</f>
        <v>0</v>
      </c>
      <c r="H24" s="147">
        <f>H18*Inputs!$C$5</f>
        <v>105.6854863013745</v>
      </c>
      <c r="I24" s="97">
        <f>I18*Inputs!$C$5</f>
        <v>788.06789060984363</v>
      </c>
      <c r="J24" s="99">
        <f>J18*Inputs!$C$5</f>
        <v>295.80968114778364</v>
      </c>
    </row>
    <row r="25" spans="1:10">
      <c r="A25" s="805" t="str">
        <f>'Resid TSM Sum by Rate Schedule'!A26</f>
        <v>Annualized Services Cost at 7.08%</v>
      </c>
      <c r="B25" s="147">
        <f>B19*Inputs!$C$6</f>
        <v>26.476371659686325</v>
      </c>
      <c r="C25" s="97">
        <f>C19*Inputs!$C$6</f>
        <v>103.82531788411195</v>
      </c>
      <c r="D25" s="99">
        <f>D19*Inputs!$C$6</f>
        <v>47.678620878564409</v>
      </c>
      <c r="E25" s="147">
        <f>E19*Inputs!$C$6</f>
        <v>231.08232962526188</v>
      </c>
      <c r="F25" s="97">
        <f>F19*Inputs!$C$6</f>
        <v>299.64082592658525</v>
      </c>
      <c r="G25" s="99">
        <f>G19*Inputs!$C$6</f>
        <v>297.00396068422674</v>
      </c>
      <c r="H25" s="147">
        <f>H19*Inputs!$C$6</f>
        <v>26.547887198996214</v>
      </c>
      <c r="I25" s="97">
        <f>I19*Inputs!$C$6</f>
        <v>108.25553299819506</v>
      </c>
      <c r="J25" s="99">
        <f>J19*Inputs!$C$6</f>
        <v>49.313128905530434</v>
      </c>
    </row>
    <row r="26" spans="1:10" ht="15">
      <c r="A26" s="805" t="str">
        <f>'Resid TSM Sum by Rate Schedule'!A27</f>
        <v>Annualized Meter Cost at 10.78%</v>
      </c>
      <c r="B26" s="628">
        <f>B20*Inputs!$C$7</f>
        <v>29.643644516045963</v>
      </c>
      <c r="C26" s="627">
        <f>C20*Inputs!$C$7</f>
        <v>50.352769850408137</v>
      </c>
      <c r="D26" s="626">
        <f>D20*Inputs!$C$7</f>
        <v>35.320257551860969</v>
      </c>
      <c r="E26" s="628">
        <f>E20*Inputs!$C$7</f>
        <v>97.31753852314354</v>
      </c>
      <c r="F26" s="627">
        <f>F20*Inputs!$C$7</f>
        <v>108.80056263807839</v>
      </c>
      <c r="G26" s="626">
        <f>G20*Inputs!$C$7</f>
        <v>108.35890786442705</v>
      </c>
      <c r="H26" s="628">
        <f>H20*Inputs!$C$7</f>
        <v>29.667298446142816</v>
      </c>
      <c r="I26" s="627">
        <f>I20*Inputs!$C$7</f>
        <v>51.675118103522848</v>
      </c>
      <c r="J26" s="626">
        <f>J20*Inputs!$C$7</f>
        <v>35.799078759154654</v>
      </c>
    </row>
    <row r="27" spans="1:10">
      <c r="A27" s="114" t="s">
        <v>380</v>
      </c>
      <c r="B27" s="147">
        <f>SUM(B24:B26)</f>
        <v>161.84245544434501</v>
      </c>
      <c r="C27" s="97">
        <f t="shared" ref="C27:J27" si="3">SUM(C24:C26)</f>
        <v>960.48829062699951</v>
      </c>
      <c r="D27" s="99">
        <f t="shared" si="3"/>
        <v>380.76060315938724</v>
      </c>
      <c r="E27" s="147">
        <f t="shared" si="3"/>
        <v>328.3998681484054</v>
      </c>
      <c r="F27" s="97">
        <f t="shared" si="3"/>
        <v>408.44138856466361</v>
      </c>
      <c r="G27" s="99">
        <f t="shared" si="3"/>
        <v>405.36286854865381</v>
      </c>
      <c r="H27" s="147">
        <f t="shared" si="3"/>
        <v>161.90067194651351</v>
      </c>
      <c r="I27" s="97">
        <f t="shared" si="3"/>
        <v>947.99854171156153</v>
      </c>
      <c r="J27" s="99">
        <f t="shared" si="3"/>
        <v>380.92188881246875</v>
      </c>
    </row>
    <row r="28" spans="1:10">
      <c r="A28" s="53"/>
      <c r="B28" s="142"/>
      <c r="C28" s="34"/>
      <c r="D28" s="44"/>
      <c r="E28" s="142"/>
      <c r="F28" s="34"/>
      <c r="G28" s="44"/>
      <c r="H28" s="142"/>
      <c r="I28" s="34"/>
      <c r="J28" s="44"/>
    </row>
    <row r="29" spans="1:10">
      <c r="A29" s="40" t="s">
        <v>50</v>
      </c>
      <c r="B29" s="143">
        <f>('Sch PA-T-1 TSM Summary'!B29*'Sch PA-T-1 Cust Fcst'!$F$39+'Sch TOU-PA TSM Summary'!B29*'Sch TOU-PA Cust Fcst'!$F$39)/('Sch PA-T-1 Cust Fcst'!$F$39+'Sch TOU-PA Cust Fcst'!$F$39)</f>
        <v>37.94281390443097</v>
      </c>
      <c r="C29" s="163">
        <f>('Sch PA-T-1 TSM Summary'!C29*'Sch PA-T-1 Cust Fcst'!$F$40+'Sch TOU-PA TSM Summary'!C29*'Sch TOU-PA Cust Fcst'!$F$40)/('Sch PA-T-1 Cust Fcst'!$F$40+'Sch TOU-PA Cust Fcst'!$F$40)</f>
        <v>68.11226095948777</v>
      </c>
      <c r="D29" s="49">
        <f>('Sch PA-T-1 TSM Summary'!D29*'Sch PA-T-1 Cust Fcst'!$F$38+'Sch TOU-PA TSM Summary'!D29*'Sch TOU-PA Cust Fcst'!$F$38)/('Sch PA-T-1 Cust Fcst'!$F$38+'Sch TOU-PA Cust Fcst'!$F$38)</f>
        <v>46.212611574345019</v>
      </c>
      <c r="E29" s="143">
        <f>('Sch PA-T-1 TSM Summary'!E29*'Sch PA-T-1 Cust Fcst'!$G$39+'Sch TOU-PA TSM Summary'!E29*'Sch TOU-PA Cust Fcst'!$G$39)/('Sch PA-T-1 Cust Fcst'!$G$39+'Sch TOU-PA Cust Fcst'!$G$39)</f>
        <v>51.037097909024432</v>
      </c>
      <c r="F29" s="163">
        <f>('Sch PA-T-1 TSM Summary'!F29*'Sch PA-T-1 Cust Fcst'!$G$40+'Sch TOU-PA TSM Summary'!F29*'Sch TOU-PA Cust Fcst'!$G$40)/('Sch PA-T-1 Cust Fcst'!$G$40+'Sch TOU-PA Cust Fcst'!$G$40)</f>
        <v>51.137758040129569</v>
      </c>
      <c r="G29" s="49">
        <f>('Sch PA-T-1 TSM Summary'!G29*'Sch PA-T-1 Cust Fcst'!$G$38+'Sch TOU-PA TSM Summary'!G29*'Sch TOU-PA Cust Fcst'!$G$38)/('Sch PA-T-1 Cust Fcst'!$G$38+'Sch TOU-PA Cust Fcst'!$G$38)</f>
        <v>51.133886496625522</v>
      </c>
      <c r="H29" s="143">
        <f>('Sch PA-T-1 TSM Summary'!H29*'Sch PA-T-1 Cust Fcst'!$H$39+'Sch TOU-PA TSM Summary'!H29*'Sch TOU-PA Cust Fcst'!$H$39)/('Sch PA-T-1 Cust Fcst'!$H$39+'Sch TOU-PA Cust Fcst'!$H$39)</f>
        <v>37.904059369985561</v>
      </c>
      <c r="I29" s="163">
        <f>('Sch PA-T-1 TSM Summary'!I29*'Sch PA-T-1 Cust Fcst'!$H$40+'Sch TOU-PA TSM Summary'!I29*'Sch TOU-PA Cust Fcst'!$H$40)/('Sch PA-T-1 Cust Fcst'!$H$40+'Sch TOU-PA Cust Fcst'!$H$40)</f>
        <v>67.840413388509447</v>
      </c>
      <c r="J29" s="49">
        <f>('Sch PA-T-1 TSM Summary'!J29*'Sch PA-T-1 Cust Fcst'!$H$38+'Sch TOU-PA TSM Summary'!J29*'Sch TOU-PA Cust Fcst'!$H$38)/('Sch PA-T-1 Cust Fcst'!$H$38+'Sch TOU-PA Cust Fcst'!$H$38)</f>
        <v>46.244874092746251</v>
      </c>
    </row>
    <row r="30" spans="1:10">
      <c r="A30" s="11"/>
      <c r="B30" s="142"/>
      <c r="C30" s="34"/>
      <c r="D30" s="44"/>
      <c r="E30" s="142"/>
      <c r="F30" s="34"/>
      <c r="G30" s="44"/>
      <c r="H30" s="142"/>
      <c r="I30" s="34"/>
      <c r="J30" s="44"/>
    </row>
    <row r="31" spans="1:10">
      <c r="A31" s="40" t="s">
        <v>61</v>
      </c>
      <c r="B31" s="143">
        <f>('Sch PA-T-1 TSM Summary'!B31*'Sch PA-T-1 Cust Fcst'!$F$39+'Sch TOU-PA TSM Summary'!B31*'Sch TOU-PA Cust Fcst'!$F$39)/('Sch PA-T-1 Cust Fcst'!$F$39+'Sch TOU-PA Cust Fcst'!$F$39)</f>
        <v>148.85601320389145</v>
      </c>
      <c r="C31" s="163">
        <f>('Sch PA-T-1 TSM Summary'!C31*'Sch PA-T-1 Cust Fcst'!$F$40+'Sch TOU-PA TSM Summary'!C31*'Sch TOU-PA Cust Fcst'!$F$40)/('Sch PA-T-1 Cust Fcst'!$F$40+'Sch TOU-PA Cust Fcst'!$F$40)</f>
        <v>148.85601320389142</v>
      </c>
      <c r="D31" s="49">
        <f>('Sch PA-T-1 TSM Summary'!D31*'Sch PA-T-1 Cust Fcst'!$F$38+'Sch TOU-PA TSM Summary'!D31*'Sch TOU-PA Cust Fcst'!$F$38)/('Sch PA-T-1 Cust Fcst'!$F$38+'Sch TOU-PA Cust Fcst'!$F$38)</f>
        <v>148.85601320389142</v>
      </c>
      <c r="E31" s="143">
        <f>('Sch PA-T-1 TSM Summary'!E31*'Sch PA-T-1 Cust Fcst'!$G$39+'Sch TOU-PA TSM Summary'!E31*'Sch TOU-PA Cust Fcst'!$G$39)/('Sch PA-T-1 Cust Fcst'!$G$39+'Sch TOU-PA Cust Fcst'!$G$39)</f>
        <v>148.85601320389145</v>
      </c>
      <c r="F31" s="163">
        <f>('Sch PA-T-1 TSM Summary'!F31*'Sch PA-T-1 Cust Fcst'!$G$40+'Sch TOU-PA TSM Summary'!F31*'Sch TOU-PA Cust Fcst'!$G$40)/('Sch PA-T-1 Cust Fcst'!$G$40+'Sch TOU-PA Cust Fcst'!$G$40)</f>
        <v>148.85601320389145</v>
      </c>
      <c r="G31" s="49">
        <f>('Sch PA-T-1 TSM Summary'!G31*'Sch PA-T-1 Cust Fcst'!$G$38+'Sch TOU-PA TSM Summary'!G31*'Sch TOU-PA Cust Fcst'!$G$38)/('Sch PA-T-1 Cust Fcst'!$G$38+'Sch TOU-PA Cust Fcst'!$G$38)</f>
        <v>148.85601320389145</v>
      </c>
      <c r="H31" s="143">
        <f>('Sch PA-T-1 TSM Summary'!H31*'Sch PA-T-1 Cust Fcst'!$H$39+'Sch TOU-PA TSM Summary'!H31*'Sch TOU-PA Cust Fcst'!$H$39)/('Sch PA-T-1 Cust Fcst'!$H$39+'Sch TOU-PA Cust Fcst'!$H$39)</f>
        <v>148.85601320389145</v>
      </c>
      <c r="I31" s="163">
        <f>('Sch PA-T-1 TSM Summary'!I31*'Sch PA-T-1 Cust Fcst'!$H$40+'Sch TOU-PA TSM Summary'!I31*'Sch TOU-PA Cust Fcst'!$H$40)/('Sch PA-T-1 Cust Fcst'!$H$40+'Sch TOU-PA Cust Fcst'!$H$40)</f>
        <v>148.85601320389145</v>
      </c>
      <c r="J31" s="49">
        <f>('Sch PA-T-1 TSM Summary'!J31*'Sch PA-T-1 Cust Fcst'!$H$38+'Sch TOU-PA TSM Summary'!J31*'Sch TOU-PA Cust Fcst'!$H$38)/('Sch PA-T-1 Cust Fcst'!$H$38+'Sch TOU-PA Cust Fcst'!$H$38)</f>
        <v>148.85601320389145</v>
      </c>
    </row>
    <row r="32" spans="1:10" ht="13.5" thickBot="1">
      <c r="A32" s="15"/>
      <c r="B32" s="144"/>
      <c r="C32" s="115"/>
      <c r="D32" s="116"/>
      <c r="E32" s="144"/>
      <c r="F32" s="115"/>
      <c r="G32" s="116"/>
      <c r="H32" s="144"/>
      <c r="I32" s="115"/>
      <c r="J32" s="116"/>
    </row>
    <row r="33" spans="1:10" ht="13.5" thickBot="1">
      <c r="A33" s="370" t="s">
        <v>165</v>
      </c>
      <c r="B33" s="371">
        <f t="shared" ref="B33:J33" si="4">B27+B29+B31</f>
        <v>348.64128255266746</v>
      </c>
      <c r="C33" s="372">
        <f t="shared" si="4"/>
        <v>1177.4565647903787</v>
      </c>
      <c r="D33" s="383">
        <f t="shared" si="4"/>
        <v>575.82922793762373</v>
      </c>
      <c r="E33" s="371">
        <f t="shared" si="4"/>
        <v>528.29297926132131</v>
      </c>
      <c r="F33" s="372">
        <f t="shared" si="4"/>
        <v>608.4351598086846</v>
      </c>
      <c r="G33" s="372">
        <f t="shared" si="4"/>
        <v>605.35276824917082</v>
      </c>
      <c r="H33" s="371">
        <f t="shared" si="4"/>
        <v>348.66074452039049</v>
      </c>
      <c r="I33" s="372">
        <f t="shared" si="4"/>
        <v>1164.6949683039625</v>
      </c>
      <c r="J33" s="383">
        <f t="shared" si="4"/>
        <v>576.02277610910642</v>
      </c>
    </row>
    <row r="34" spans="1:10">
      <c r="B34" s="18"/>
      <c r="C34" s="13"/>
      <c r="D34" s="13"/>
      <c r="E34" s="13"/>
      <c r="F34" s="13"/>
      <c r="G34" s="13"/>
    </row>
    <row r="36" spans="1:10">
      <c r="A36" t="s">
        <v>3</v>
      </c>
    </row>
    <row r="44" spans="1:10">
      <c r="A44" s="19"/>
    </row>
    <row r="56" spans="1:1">
      <c r="A56" s="19"/>
    </row>
  </sheetData>
  <mergeCells count="4">
    <mergeCell ref="A1:J1"/>
    <mergeCell ref="B2:D2"/>
    <mergeCell ref="E2:G2"/>
    <mergeCell ref="H2:J2"/>
  </mergeCells>
  <printOptions horizontalCentered="1"/>
  <pageMargins left="0.75" right="0.75" top="1" bottom="1" header="0.5" footer="0.5"/>
  <pageSetup scale="72" orientation="portrait" r:id="rId1"/>
  <headerFooter alignWithMargins="0">
    <oddFooter>&amp;L&amp;F
&amp;A&amp;R&amp;P of &amp;N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sheetPr codeName="Sheet71">
    <tabColor rgb="FF0070C0"/>
    <pageSetUpPr fitToPage="1"/>
  </sheetPr>
  <dimension ref="A1:J58"/>
  <sheetViews>
    <sheetView zoomScaleNormal="100" workbookViewId="0">
      <selection activeCell="A24" sqref="A24:A26"/>
    </sheetView>
  </sheetViews>
  <sheetFormatPr defaultRowHeight="12.75"/>
  <cols>
    <col min="1" max="1" width="40.85546875" customWidth="1"/>
    <col min="2" max="2" width="10.28515625" bestFit="1" customWidth="1"/>
    <col min="3" max="4" width="10.28515625" style="12" bestFit="1" customWidth="1"/>
    <col min="5" max="5" width="9.28515625" style="12" bestFit="1" customWidth="1"/>
    <col min="6" max="7" width="10.28515625" style="12" bestFit="1" customWidth="1"/>
    <col min="8" max="10" width="10.28515625" bestFit="1" customWidth="1"/>
  </cols>
  <sheetData>
    <row r="1" spans="1:10" ht="18.75" thickBot="1">
      <c r="A1" s="826" t="s">
        <v>428</v>
      </c>
      <c r="B1" s="826"/>
      <c r="C1" s="826"/>
      <c r="D1" s="826"/>
      <c r="E1" s="826"/>
      <c r="F1" s="826"/>
      <c r="G1" s="826"/>
      <c r="H1" s="826"/>
      <c r="I1" s="826"/>
      <c r="J1" s="826"/>
    </row>
    <row r="2" spans="1:10" ht="13.5" thickBot="1">
      <c r="A2" s="131"/>
      <c r="B2" s="828" t="s">
        <v>0</v>
      </c>
      <c r="C2" s="828"/>
      <c r="D2" s="829"/>
      <c r="E2" s="828" t="s">
        <v>1</v>
      </c>
      <c r="F2" s="828"/>
      <c r="G2" s="829"/>
      <c r="H2" s="828" t="s">
        <v>244</v>
      </c>
      <c r="I2" s="828"/>
      <c r="J2" s="829"/>
    </row>
    <row r="3" spans="1:10" ht="13.5" thickBot="1">
      <c r="A3" s="102" t="s">
        <v>47</v>
      </c>
      <c r="B3" s="612" t="s">
        <v>243</v>
      </c>
      <c r="C3" s="612" t="s">
        <v>174</v>
      </c>
      <c r="D3" s="613" t="s">
        <v>167</v>
      </c>
      <c r="E3" s="612" t="s">
        <v>243</v>
      </c>
      <c r="F3" s="612" t="s">
        <v>174</v>
      </c>
      <c r="G3" s="613" t="s">
        <v>168</v>
      </c>
      <c r="H3" s="612" t="s">
        <v>243</v>
      </c>
      <c r="I3" s="612" t="s">
        <v>174</v>
      </c>
      <c r="J3" s="613" t="s">
        <v>2</v>
      </c>
    </row>
    <row r="4" spans="1:10">
      <c r="A4" s="39"/>
      <c r="B4" s="5"/>
      <c r="C4" s="6"/>
      <c r="D4" s="7"/>
      <c r="E4" s="5"/>
      <c r="F4" s="6"/>
      <c r="G4" s="7"/>
      <c r="H4" s="5"/>
      <c r="I4" s="6"/>
      <c r="J4" s="7"/>
    </row>
    <row r="5" spans="1:10">
      <c r="A5" s="40"/>
      <c r="B5" s="132"/>
      <c r="C5" s="8"/>
      <c r="D5" s="9"/>
      <c r="E5" s="132"/>
      <c r="F5" s="8"/>
      <c r="G5" s="9"/>
      <c r="H5" s="132"/>
      <c r="I5" s="8"/>
      <c r="J5" s="9"/>
    </row>
    <row r="6" spans="1:10">
      <c r="A6" s="40" t="s">
        <v>49</v>
      </c>
      <c r="B6" s="142"/>
      <c r="C6" s="34"/>
      <c r="D6" s="44"/>
      <c r="E6" s="142"/>
      <c r="F6" s="34"/>
      <c r="G6" s="44"/>
      <c r="H6" s="142"/>
      <c r="I6" s="34"/>
      <c r="J6" s="44"/>
    </row>
    <row r="7" spans="1:10">
      <c r="A7" s="41"/>
      <c r="B7" s="142"/>
      <c r="C7" s="34"/>
      <c r="D7" s="44"/>
      <c r="E7" s="142"/>
      <c r="F7" s="34"/>
      <c r="G7" s="44"/>
      <c r="H7" s="142"/>
      <c r="I7" s="34"/>
      <c r="J7" s="44"/>
    </row>
    <row r="8" spans="1:10">
      <c r="A8" s="40" t="s">
        <v>53</v>
      </c>
      <c r="B8" s="143">
        <f>'Agric TSM Summary'!B8*Inputs!$C$12</f>
        <v>1366.5375951742012</v>
      </c>
      <c r="C8" s="163">
        <f>'Agric TSM Summary'!C8*Inputs!$C$12</f>
        <v>10422.131888440388</v>
      </c>
      <c r="D8" s="49">
        <f>'Agric TSM Summary'!D8*Inputs!$C$12</f>
        <v>3848.7817161710232</v>
      </c>
      <c r="E8" s="143">
        <f>'Agric TSM Summary'!E8*Inputs!$C$12</f>
        <v>0</v>
      </c>
      <c r="F8" s="163">
        <f>'Agric TSM Summary'!F8*Inputs!$C$12</f>
        <v>0</v>
      </c>
      <c r="G8" s="49">
        <f>'Agric TSM Summary'!G8*Inputs!$C$12</f>
        <v>0</v>
      </c>
      <c r="H8" s="143">
        <f>'Agric TSM Summary'!H8*Inputs!$C$12</f>
        <v>1366.0599518343993</v>
      </c>
      <c r="I8" s="163">
        <f>'Agric TSM Summary'!I8*Inputs!$C$12</f>
        <v>10186.337049335398</v>
      </c>
      <c r="J8" s="49">
        <f>'Agric TSM Summary'!J8*Inputs!$C$12</f>
        <v>3823.5501668466545</v>
      </c>
    </row>
    <row r="9" spans="1:10">
      <c r="A9" s="40" t="s">
        <v>51</v>
      </c>
      <c r="B9" s="143">
        <f>'Agric TSM Summary'!B9*Inputs!$C$12</f>
        <v>389.14672751376281</v>
      </c>
      <c r="C9" s="163">
        <f>'Agric TSM Summary'!C9*Inputs!$C$12</f>
        <v>1526.012824075797</v>
      </c>
      <c r="D9" s="49">
        <f>'Agric TSM Summary'!D9*Inputs!$C$12</f>
        <v>700.77499763736591</v>
      </c>
      <c r="E9" s="143">
        <f>'Agric TSM Summary'!E9*Inputs!$C$12</f>
        <v>3396.4220443713425</v>
      </c>
      <c r="F9" s="163">
        <f>'Agric TSM Summary'!F9*Inputs!$C$12</f>
        <v>4404.0870983993873</v>
      </c>
      <c r="G9" s="49">
        <f>'Agric TSM Summary'!G9*Inputs!$C$12</f>
        <v>4365.330750167539</v>
      </c>
      <c r="H9" s="143">
        <f>'Agric TSM Summary'!H9*Inputs!$C$12</f>
        <v>390.19785485275531</v>
      </c>
      <c r="I9" s="163">
        <f>'Agric TSM Summary'!I9*Inputs!$C$12</f>
        <v>1591.1276266623036</v>
      </c>
      <c r="J9" s="49">
        <f>'Agric TSM Summary'!J9*Inputs!$C$12</f>
        <v>724.79881245475997</v>
      </c>
    </row>
    <row r="10" spans="1:10">
      <c r="A10" s="40" t="s">
        <v>52</v>
      </c>
      <c r="B10" s="143">
        <f>'Agric TSM Summary'!B10*Inputs!$C$12</f>
        <v>286.14303694833995</v>
      </c>
      <c r="C10" s="163">
        <f>'Agric TSM Summary'!C10*Inputs!$C$12</f>
        <v>486.04328917645608</v>
      </c>
      <c r="D10" s="49">
        <f>'Agric TSM Summary'!D10*Inputs!$C$12</f>
        <v>340.93802994487936</v>
      </c>
      <c r="E10" s="143">
        <f>'Agric TSM Summary'!E10*Inputs!$C$12</f>
        <v>939.38301028660817</v>
      </c>
      <c r="F10" s="163">
        <f>'Agric TSM Summary'!F10*Inputs!$C$12</f>
        <v>1050.2259058630916</v>
      </c>
      <c r="G10" s="49">
        <f>'Agric TSM Summary'!G10*Inputs!$C$12</f>
        <v>1045.9627175716885</v>
      </c>
      <c r="H10" s="143">
        <f>'Agric TSM Summary'!H10*Inputs!$C$12</f>
        <v>286.37136269924463</v>
      </c>
      <c r="I10" s="163">
        <f>'Agric TSM Summary'!I10*Inputs!$C$12</f>
        <v>498.80760177117634</v>
      </c>
      <c r="J10" s="49">
        <f>'Agric TSM Summary'!J10*Inputs!$C$12</f>
        <v>345.5599769641172</v>
      </c>
    </row>
    <row r="11" spans="1:10">
      <c r="A11" s="42"/>
      <c r="B11" s="142"/>
      <c r="C11" s="34"/>
      <c r="D11" s="44"/>
      <c r="E11" s="142"/>
      <c r="F11" s="34"/>
      <c r="G11" s="44"/>
      <c r="H11" s="142"/>
      <c r="I11" s="34"/>
      <c r="J11" s="44"/>
    </row>
    <row r="12" spans="1:10">
      <c r="A12" s="40" t="s">
        <v>35</v>
      </c>
      <c r="B12" s="142">
        <f>SUM(B8:B10)</f>
        <v>2041.8273596363042</v>
      </c>
      <c r="C12" s="34">
        <f t="shared" ref="C12:J12" si="0">SUM(C8:C10)</f>
        <v>12434.188001692641</v>
      </c>
      <c r="D12" s="44">
        <f t="shared" si="0"/>
        <v>4890.4947437532683</v>
      </c>
      <c r="E12" s="142">
        <f t="shared" si="0"/>
        <v>4335.8050546579507</v>
      </c>
      <c r="F12" s="34">
        <f t="shared" si="0"/>
        <v>5454.3130042624789</v>
      </c>
      <c r="G12" s="44">
        <f t="shared" si="0"/>
        <v>5411.2934677392277</v>
      </c>
      <c r="H12" s="142">
        <f t="shared" si="0"/>
        <v>2042.6291693863993</v>
      </c>
      <c r="I12" s="34">
        <f t="shared" si="0"/>
        <v>12276.272277768876</v>
      </c>
      <c r="J12" s="44">
        <f t="shared" si="0"/>
        <v>4893.9089562655317</v>
      </c>
    </row>
    <row r="13" spans="1:10">
      <c r="A13" s="42"/>
      <c r="B13" s="142"/>
      <c r="C13" s="34"/>
      <c r="D13" s="44"/>
      <c r="E13" s="142"/>
      <c r="F13" s="34"/>
      <c r="G13" s="44"/>
      <c r="H13" s="142"/>
      <c r="I13" s="34"/>
      <c r="J13" s="44"/>
    </row>
    <row r="14" spans="1:10">
      <c r="A14" s="40" t="s">
        <v>65</v>
      </c>
      <c r="B14" s="142"/>
      <c r="C14" s="34"/>
      <c r="D14" s="44"/>
      <c r="E14" s="142"/>
      <c r="F14" s="34"/>
      <c r="G14" s="44"/>
      <c r="H14" s="142"/>
      <c r="I14" s="34"/>
      <c r="J14" s="44"/>
    </row>
    <row r="15" spans="1:10">
      <c r="A15" s="53">
        <f>Inputs!C3</f>
        <v>2.7723662892949787E-2</v>
      </c>
      <c r="B15" s="142"/>
      <c r="C15" s="34"/>
      <c r="D15" s="44"/>
      <c r="E15" s="142"/>
      <c r="F15" s="34"/>
      <c r="G15" s="44"/>
      <c r="H15" s="142"/>
      <c r="I15" s="34"/>
      <c r="J15" s="44"/>
    </row>
    <row r="16" spans="1:10">
      <c r="A16" s="40" t="s">
        <v>64</v>
      </c>
      <c r="B16" s="142"/>
      <c r="C16" s="34"/>
      <c r="D16" s="44"/>
      <c r="E16" s="142"/>
      <c r="F16" s="34"/>
      <c r="G16" s="44"/>
      <c r="H16" s="142"/>
      <c r="I16" s="34"/>
      <c r="J16" s="44"/>
    </row>
    <row r="17" spans="1:10">
      <c r="A17" s="53">
        <f>Inputs!C4</f>
        <v>1.5023E-2</v>
      </c>
      <c r="B17" s="142"/>
      <c r="C17" s="34"/>
      <c r="D17" s="44"/>
      <c r="E17" s="142"/>
      <c r="F17" s="34"/>
      <c r="G17" s="44"/>
      <c r="H17" s="142"/>
      <c r="I17" s="34"/>
      <c r="J17" s="44"/>
    </row>
    <row r="18" spans="1:10">
      <c r="A18" s="122" t="s">
        <v>111</v>
      </c>
      <c r="B18" s="142">
        <f t="shared" ref="B18:J20" si="1">(B8*(1+$A$15)*(1+$A$17))</f>
        <v>1425.5216698647776</v>
      </c>
      <c r="C18" s="34">
        <f t="shared" si="1"/>
        <v>10871.983987580361</v>
      </c>
      <c r="D18" s="44">
        <f t="shared" si="1"/>
        <v>4014.907279796967</v>
      </c>
      <c r="E18" s="142">
        <f t="shared" si="1"/>
        <v>0</v>
      </c>
      <c r="F18" s="34">
        <f t="shared" si="1"/>
        <v>0</v>
      </c>
      <c r="G18" s="44">
        <f t="shared" si="1"/>
        <v>0</v>
      </c>
      <c r="H18" s="142">
        <f t="shared" si="1"/>
        <v>1425.0234099312356</v>
      </c>
      <c r="I18" s="34">
        <f t="shared" si="1"/>
        <v>10626.011499173561</v>
      </c>
      <c r="J18" s="44">
        <f t="shared" si="1"/>
        <v>3988.5866571860947</v>
      </c>
    </row>
    <row r="19" spans="1:10">
      <c r="A19" s="122" t="s">
        <v>51</v>
      </c>
      <c r="B19" s="142">
        <f t="shared" si="1"/>
        <v>405.9435282182024</v>
      </c>
      <c r="C19" s="34">
        <f t="shared" si="1"/>
        <v>1591.8803528667559</v>
      </c>
      <c r="D19" s="44">
        <f t="shared" si="1"/>
        <v>731.02265781729807</v>
      </c>
      <c r="E19" s="142">
        <f t="shared" si="1"/>
        <v>3543.0223371502479</v>
      </c>
      <c r="F19" s="34">
        <f t="shared" si="1"/>
        <v>4594.181394577663</v>
      </c>
      <c r="G19" s="44">
        <f t="shared" si="1"/>
        <v>4553.7522000612234</v>
      </c>
      <c r="H19" s="142">
        <f t="shared" si="1"/>
        <v>407.04002552995775</v>
      </c>
      <c r="I19" s="34">
        <f t="shared" si="1"/>
        <v>1659.8057158013917</v>
      </c>
      <c r="J19" s="44">
        <f t="shared" si="1"/>
        <v>756.08341628889218</v>
      </c>
    </row>
    <row r="20" spans="1:10">
      <c r="A20" s="122" t="s">
        <v>52</v>
      </c>
      <c r="B20" s="142">
        <f t="shared" si="1"/>
        <v>298.4938733418295</v>
      </c>
      <c r="C20" s="34">
        <f t="shared" si="1"/>
        <v>507.02245123747713</v>
      </c>
      <c r="D20" s="44">
        <f t="shared" si="1"/>
        <v>355.65399114063644</v>
      </c>
      <c r="E20" s="142">
        <f t="shared" si="1"/>
        <v>979.92974521543431</v>
      </c>
      <c r="F20" s="34">
        <f t="shared" si="1"/>
        <v>1095.5569699276043</v>
      </c>
      <c r="G20" s="44">
        <f t="shared" si="1"/>
        <v>1091.1097689771364</v>
      </c>
      <c r="H20" s="142">
        <f t="shared" si="1"/>
        <v>298.73205435262076</v>
      </c>
      <c r="I20" s="34">
        <f t="shared" si="1"/>
        <v>520.33771184132615</v>
      </c>
      <c r="J20" s="44">
        <f t="shared" si="1"/>
        <v>360.47543597768868</v>
      </c>
    </row>
    <row r="21" spans="1:10">
      <c r="A21" s="40"/>
      <c r="B21" s="147"/>
      <c r="C21" s="97"/>
      <c r="D21" s="99"/>
      <c r="E21" s="147"/>
      <c r="F21" s="97"/>
      <c r="G21" s="99"/>
      <c r="H21" s="147"/>
      <c r="I21" s="97"/>
      <c r="J21" s="99"/>
    </row>
    <row r="22" spans="1:10">
      <c r="A22" s="40" t="s">
        <v>35</v>
      </c>
      <c r="B22" s="147">
        <f>B18+B19+B20</f>
        <v>2129.9590714248093</v>
      </c>
      <c r="C22" s="97">
        <f t="shared" ref="C22:J22" si="2">C18+C19+C20</f>
        <v>12970.886791684594</v>
      </c>
      <c r="D22" s="99">
        <f t="shared" si="2"/>
        <v>5101.5839287549015</v>
      </c>
      <c r="E22" s="147">
        <f t="shared" si="2"/>
        <v>4522.9520823656821</v>
      </c>
      <c r="F22" s="97">
        <f t="shared" si="2"/>
        <v>5689.7383645052669</v>
      </c>
      <c r="G22" s="99">
        <f t="shared" si="2"/>
        <v>5644.8619690383603</v>
      </c>
      <c r="H22" s="147">
        <f t="shared" si="2"/>
        <v>2130.7954898138141</v>
      </c>
      <c r="I22" s="97">
        <f t="shared" si="2"/>
        <v>12806.154926816278</v>
      </c>
      <c r="J22" s="99">
        <f t="shared" si="2"/>
        <v>5105.1455094526755</v>
      </c>
    </row>
    <row r="23" spans="1:10">
      <c r="A23" s="40"/>
      <c r="B23" s="142"/>
      <c r="C23" s="34"/>
      <c r="D23" s="44"/>
      <c r="E23" s="142"/>
      <c r="F23" s="34"/>
      <c r="G23" s="44"/>
      <c r="H23" s="142"/>
      <c r="I23" s="34"/>
      <c r="J23" s="44"/>
    </row>
    <row r="24" spans="1:10">
      <c r="A24" s="805" t="str">
        <f>'Resid TSM Sum by Rate Schedule'!A25</f>
        <v>Annualized Transformer Cost at 8.05%</v>
      </c>
      <c r="B24" s="147">
        <f>B18*Inputs!$C$5</f>
        <v>114.72407740328107</v>
      </c>
      <c r="C24" s="97">
        <f>C18*Inputs!$C$5</f>
        <v>874.96273040641768</v>
      </c>
      <c r="D24" s="99">
        <f>D18*Inputs!$C$5</f>
        <v>323.11436807419153</v>
      </c>
      <c r="E24" s="147">
        <f>E18*Inputs!$C$5</f>
        <v>0</v>
      </c>
      <c r="F24" s="97">
        <f>F18*Inputs!$C$5</f>
        <v>0</v>
      </c>
      <c r="G24" s="99">
        <f>G18*Inputs!$C$5</f>
        <v>0</v>
      </c>
      <c r="H24" s="147">
        <f>H18*Inputs!$C$5</f>
        <v>114.68397811023557</v>
      </c>
      <c r="I24" s="97">
        <f>I18*Inputs!$C$5</f>
        <v>855.16719351939423</v>
      </c>
      <c r="J24" s="99">
        <f>J18*Inputs!$C$5</f>
        <v>320.99611956941874</v>
      </c>
    </row>
    <row r="25" spans="1:10">
      <c r="A25" s="805" t="str">
        <f>'Resid TSM Sum by Rate Schedule'!A26</f>
        <v>Annualized Services Cost at 7.08%</v>
      </c>
      <c r="B25" s="147">
        <f>B19*Inputs!$C$6</f>
        <v>28.730677542602532</v>
      </c>
      <c r="C25" s="97">
        <f>C19*Inputs!$C$6</f>
        <v>112.66542739421438</v>
      </c>
      <c r="D25" s="99">
        <f>D19*Inputs!$C$6</f>
        <v>51.738172425785457</v>
      </c>
      <c r="E25" s="147">
        <f>E19*Inputs!$C$6</f>
        <v>250.75761828671364</v>
      </c>
      <c r="F25" s="97">
        <f>F19*Inputs!$C$6</f>
        <v>325.15346358443622</v>
      </c>
      <c r="G25" s="99">
        <f>G19*Inputs!$C$6</f>
        <v>322.2920849191392</v>
      </c>
      <c r="H25" s="147">
        <f>H19*Inputs!$C$6</f>
        <v>28.808282205567966</v>
      </c>
      <c r="I25" s="97">
        <f>I19*Inputs!$C$6</f>
        <v>117.47284902747731</v>
      </c>
      <c r="J25" s="99">
        <f>J19*Inputs!$C$6</f>
        <v>53.511849108797868</v>
      </c>
    </row>
    <row r="26" spans="1:10" ht="15">
      <c r="A26" s="805" t="str">
        <f>'Resid TSM Sum by Rate Schedule'!A27</f>
        <v>Annualized Meter Cost at 10.78%</v>
      </c>
      <c r="B26" s="628">
        <f>B20*Inputs!$C$7</f>
        <v>32.1676248817299</v>
      </c>
      <c r="C26" s="627">
        <f>C20*Inputs!$C$7</f>
        <v>54.640009308816829</v>
      </c>
      <c r="D26" s="626">
        <f>D20*Inputs!$C$7</f>
        <v>38.327567821134437</v>
      </c>
      <c r="E26" s="628">
        <f>E20*Inputs!$C$7</f>
        <v>105.60354925087805</v>
      </c>
      <c r="F26" s="627">
        <f>F20*Inputs!$C$7</f>
        <v>118.06428470589735</v>
      </c>
      <c r="G26" s="626">
        <f>G20*Inputs!$C$7</f>
        <v>117.58502564993508</v>
      </c>
      <c r="H26" s="628">
        <f>H20*Inputs!$C$7</f>
        <v>32.193292803564631</v>
      </c>
      <c r="I26" s="627">
        <f>I20*Inputs!$C$7</f>
        <v>56.074947666216836</v>
      </c>
      <c r="J26" s="626">
        <f>J20*Inputs!$C$7</f>
        <v>38.847157811943525</v>
      </c>
    </row>
    <row r="27" spans="1:10">
      <c r="A27" s="114" t="s">
        <v>380</v>
      </c>
      <c r="B27" s="147">
        <f>SUM(B24:B26)</f>
        <v>175.62237982761349</v>
      </c>
      <c r="C27" s="97">
        <f t="shared" ref="C27:J27" si="3">SUM(C24:C26)</f>
        <v>1042.2681671094488</v>
      </c>
      <c r="D27" s="99">
        <f t="shared" si="3"/>
        <v>413.18010832111145</v>
      </c>
      <c r="E27" s="147">
        <f t="shared" si="3"/>
        <v>356.36116753759165</v>
      </c>
      <c r="F27" s="97">
        <f t="shared" si="3"/>
        <v>443.21774829033359</v>
      </c>
      <c r="G27" s="99">
        <f t="shared" si="3"/>
        <v>439.87711056907426</v>
      </c>
      <c r="H27" s="147">
        <f t="shared" si="3"/>
        <v>175.68555311936819</v>
      </c>
      <c r="I27" s="97">
        <f t="shared" si="3"/>
        <v>1028.7149902130884</v>
      </c>
      <c r="J27" s="99">
        <f t="shared" si="3"/>
        <v>413.35512649016016</v>
      </c>
    </row>
    <row r="28" spans="1:10">
      <c r="A28" s="53"/>
      <c r="B28" s="142"/>
      <c r="C28" s="34"/>
      <c r="D28" s="44"/>
      <c r="E28" s="142"/>
      <c r="F28" s="34"/>
      <c r="G28" s="44"/>
      <c r="H28" s="142"/>
      <c r="I28" s="34"/>
      <c r="J28" s="44"/>
    </row>
    <row r="29" spans="1:10">
      <c r="A29" s="40" t="s">
        <v>50</v>
      </c>
      <c r="B29" s="142">
        <f>'Agric TSM Summary'!B$29*Inputs!$C$13</f>
        <v>39.974565600297041</v>
      </c>
      <c r="C29" s="34">
        <f>'Agric TSM Summary'!C$29*Inputs!$C$13</f>
        <v>71.759518172995357</v>
      </c>
      <c r="D29" s="44">
        <f>'Agric TSM Summary'!D$29*Inputs!$C$13</f>
        <v>48.687192193828558</v>
      </c>
      <c r="E29" s="142">
        <f>'Agric TSM Summary'!E$29*Inputs!$C$13</f>
        <v>53.770018838134376</v>
      </c>
      <c r="F29" s="34">
        <f>'Agric TSM Summary'!F$29*Inputs!$C$13</f>
        <v>53.876069091137012</v>
      </c>
      <c r="G29" s="44">
        <f>'Agric TSM Summary'!G$29*Inputs!$C$13</f>
        <v>53.871990235252291</v>
      </c>
      <c r="H29" s="142">
        <f>'Agric TSM Summary'!H$29*Inputs!$C$13</f>
        <v>39.933735848360378</v>
      </c>
      <c r="I29" s="34">
        <f>'Agric TSM Summary'!I$29*Inputs!$C$13</f>
        <v>71.473113780671525</v>
      </c>
      <c r="J29" s="44">
        <f>'Agric TSM Summary'!J$29*Inputs!$C$13</f>
        <v>48.721182296974554</v>
      </c>
    </row>
    <row r="30" spans="1:10" ht="15">
      <c r="A30" s="40" t="s">
        <v>453</v>
      </c>
      <c r="B30" s="730">
        <f>-Inputs!$C$18</f>
        <v>-3.0284021924274875</v>
      </c>
      <c r="C30" s="729">
        <f>-Inputs!$C$18</f>
        <v>-3.0284021924274875</v>
      </c>
      <c r="D30" s="731">
        <f>-Inputs!$C$18</f>
        <v>-3.0284021924274875</v>
      </c>
      <c r="E30" s="730">
        <f>-Inputs!$C$18</f>
        <v>-3.0284021924274875</v>
      </c>
      <c r="F30" s="729">
        <f>-Inputs!$C$18</f>
        <v>-3.0284021924274875</v>
      </c>
      <c r="G30" s="731">
        <f>-Inputs!$C$18</f>
        <v>-3.0284021924274875</v>
      </c>
      <c r="H30" s="730">
        <f>-Inputs!$C$18</f>
        <v>-3.0284021924274875</v>
      </c>
      <c r="I30" s="729">
        <f>-Inputs!$C$18</f>
        <v>-3.0284021924274875</v>
      </c>
      <c r="J30" s="731">
        <f>-Inputs!$C$18</f>
        <v>-3.0284021924274875</v>
      </c>
    </row>
    <row r="31" spans="1:10">
      <c r="A31" s="40" t="s">
        <v>451</v>
      </c>
      <c r="B31" s="142">
        <f>B29+B30</f>
        <v>36.946163407869555</v>
      </c>
      <c r="C31" s="34">
        <f t="shared" ref="C31:J31" si="4">C29+C30</f>
        <v>68.731115980567864</v>
      </c>
      <c r="D31" s="44">
        <f t="shared" si="4"/>
        <v>45.658790001401073</v>
      </c>
      <c r="E31" s="142">
        <f t="shared" si="4"/>
        <v>50.741616645706891</v>
      </c>
      <c r="F31" s="34">
        <f t="shared" si="4"/>
        <v>50.847666898709527</v>
      </c>
      <c r="G31" s="44">
        <f t="shared" si="4"/>
        <v>50.843588042824805</v>
      </c>
      <c r="H31" s="142">
        <f t="shared" si="4"/>
        <v>36.905333655932893</v>
      </c>
      <c r="I31" s="34">
        <f t="shared" si="4"/>
        <v>68.444711588244033</v>
      </c>
      <c r="J31" s="44">
        <f t="shared" si="4"/>
        <v>45.692780104547069</v>
      </c>
    </row>
    <row r="32" spans="1:10">
      <c r="A32" s="11"/>
      <c r="B32" s="142"/>
      <c r="C32" s="34"/>
      <c r="D32" s="44"/>
      <c r="E32" s="142"/>
      <c r="F32" s="34"/>
      <c r="G32" s="44"/>
      <c r="H32" s="142"/>
      <c r="I32" s="34"/>
      <c r="J32" s="44"/>
    </row>
    <row r="33" spans="1:10">
      <c r="A33" s="40" t="s">
        <v>61</v>
      </c>
      <c r="B33" s="142">
        <f>'Agric TSM Summary'!B31*Inputs!$C$14</f>
        <v>160.05279683391606</v>
      </c>
      <c r="C33" s="34">
        <f>'Agric TSM Summary'!C31*Inputs!$C$14</f>
        <v>160.05279683391601</v>
      </c>
      <c r="D33" s="44">
        <f>'Agric TSM Summary'!D31*Inputs!$C$14</f>
        <v>160.05279683391601</v>
      </c>
      <c r="E33" s="142">
        <f>'Agric TSM Summary'!E31*Inputs!$C$14</f>
        <v>160.05279683391606</v>
      </c>
      <c r="F33" s="34">
        <f>'Agric TSM Summary'!F31*Inputs!$C$14</f>
        <v>160.05279683391606</v>
      </c>
      <c r="G33" s="44">
        <f>'Agric TSM Summary'!G31*Inputs!$C$14</f>
        <v>160.05279683391606</v>
      </c>
      <c r="H33" s="142">
        <f>'Agric TSM Summary'!H31*Inputs!$C$14</f>
        <v>160.05279683391606</v>
      </c>
      <c r="I33" s="34">
        <f>'Agric TSM Summary'!I31*Inputs!$C$14</f>
        <v>160.05279683391606</v>
      </c>
      <c r="J33" s="44">
        <f>'Agric TSM Summary'!J31*Inputs!$C$14</f>
        <v>160.05279683391606</v>
      </c>
    </row>
    <row r="34" spans="1:10" ht="13.5" thickBot="1">
      <c r="A34" s="15"/>
      <c r="B34" s="144"/>
      <c r="C34" s="115"/>
      <c r="D34" s="116"/>
      <c r="E34" s="144"/>
      <c r="F34" s="115"/>
      <c r="G34" s="116"/>
      <c r="H34" s="144"/>
      <c r="I34" s="115"/>
      <c r="J34" s="116"/>
    </row>
    <row r="35" spans="1:10" ht="13.5" thickBot="1">
      <c r="A35" s="370" t="s">
        <v>165</v>
      </c>
      <c r="B35" s="371">
        <f t="shared" ref="B35:J35" si="5">B27+B31+B33</f>
        <v>372.62134006939914</v>
      </c>
      <c r="C35" s="372">
        <f t="shared" si="5"/>
        <v>1271.0520799239328</v>
      </c>
      <c r="D35" s="383">
        <f t="shared" si="5"/>
        <v>618.89169515642857</v>
      </c>
      <c r="E35" s="371">
        <f t="shared" si="5"/>
        <v>567.15558101721456</v>
      </c>
      <c r="F35" s="372">
        <f t="shared" si="5"/>
        <v>654.11821202295914</v>
      </c>
      <c r="G35" s="372">
        <f t="shared" si="5"/>
        <v>650.77349544581512</v>
      </c>
      <c r="H35" s="371">
        <f t="shared" si="5"/>
        <v>372.64368360921719</v>
      </c>
      <c r="I35" s="372">
        <f t="shared" si="5"/>
        <v>1257.2124986352485</v>
      </c>
      <c r="J35" s="383">
        <f t="shared" si="5"/>
        <v>619.10070342862332</v>
      </c>
    </row>
    <row r="36" spans="1:10">
      <c r="B36" s="18"/>
      <c r="C36" s="13"/>
      <c r="D36" s="13"/>
      <c r="E36" s="13"/>
      <c r="F36" s="13"/>
      <c r="G36" s="13"/>
    </row>
    <row r="38" spans="1:10">
      <c r="A38" t="s">
        <v>3</v>
      </c>
      <c r="B38" s="35"/>
      <c r="C38" s="35"/>
      <c r="D38" s="35"/>
      <c r="E38" s="35"/>
      <c r="F38" s="35"/>
      <c r="G38" s="35"/>
      <c r="H38" s="35"/>
      <c r="I38" s="35"/>
      <c r="J38" s="35"/>
    </row>
    <row r="46" spans="1:10">
      <c r="A46" s="19"/>
    </row>
    <row r="58" spans="1:1">
      <c r="A58" s="19"/>
    </row>
  </sheetData>
  <mergeCells count="4">
    <mergeCell ref="A1:J1"/>
    <mergeCell ref="B2:D2"/>
    <mergeCell ref="E2:G2"/>
    <mergeCell ref="H2:J2"/>
  </mergeCells>
  <printOptions horizontalCentered="1"/>
  <pageMargins left="0.75" right="0.75" top="1" bottom="1" header="0.5" footer="0.5"/>
  <pageSetup scale="72" orientation="portrait" r:id="rId1"/>
  <headerFooter alignWithMargins="0">
    <oddFooter>&amp;L&amp;F
&amp;A&amp;R&amp;P of &amp;N</oddFoot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sheetPr codeName="Sheet55">
    <tabColor rgb="FF0070C0"/>
    <pageSetUpPr fitToPage="1"/>
  </sheetPr>
  <dimension ref="A1:LA73"/>
  <sheetViews>
    <sheetView zoomScaleNormal="100" workbookViewId="0">
      <pane ySplit="3" topLeftCell="A4" activePane="bottomLeft" state="frozen"/>
      <selection activeCell="D15" sqref="D15"/>
      <selection pane="bottomLeft" sqref="A1:H1"/>
    </sheetView>
  </sheetViews>
  <sheetFormatPr defaultRowHeight="12.75"/>
  <cols>
    <col min="1" max="1" width="25" bestFit="1" customWidth="1"/>
    <col min="2" max="2" width="16" bestFit="1" customWidth="1"/>
    <col min="3" max="3" width="15.42578125" bestFit="1" customWidth="1"/>
    <col min="4" max="5" width="12.7109375" customWidth="1"/>
    <col min="6" max="6" width="12.85546875" customWidth="1"/>
    <col min="7" max="7" width="12.5703125" customWidth="1"/>
    <col min="8" max="8" width="12.85546875" customWidth="1"/>
    <col min="9" max="313" width="9.140625" style="58"/>
  </cols>
  <sheetData>
    <row r="1" spans="1:11" ht="18.75" thickBot="1">
      <c r="A1" s="841" t="s">
        <v>539</v>
      </c>
      <c r="B1" s="841"/>
      <c r="C1" s="841"/>
      <c r="D1" s="841"/>
      <c r="E1" s="841"/>
      <c r="F1" s="841"/>
      <c r="G1" s="841"/>
      <c r="H1" s="841"/>
    </row>
    <row r="2" spans="1:11" ht="13.5" thickBot="1">
      <c r="A2" s="470"/>
      <c r="B2" s="827" t="s">
        <v>0</v>
      </c>
      <c r="C2" s="828"/>
      <c r="D2" s="828"/>
      <c r="E2" s="828"/>
      <c r="F2" s="829"/>
      <c r="G2" s="131"/>
      <c r="H2" s="131" t="s">
        <v>82</v>
      </c>
    </row>
    <row r="3" spans="1:11" ht="13.5" thickBot="1">
      <c r="A3" s="471" t="s">
        <v>4</v>
      </c>
      <c r="B3" s="98" t="s">
        <v>136</v>
      </c>
      <c r="C3" s="28" t="s">
        <v>114</v>
      </c>
      <c r="D3" s="28" t="s">
        <v>33</v>
      </c>
      <c r="E3" s="28" t="s">
        <v>34</v>
      </c>
      <c r="F3" s="472" t="s">
        <v>270</v>
      </c>
      <c r="G3" s="102" t="s">
        <v>1</v>
      </c>
      <c r="H3" s="102" t="s">
        <v>2</v>
      </c>
    </row>
    <row r="4" spans="1:11">
      <c r="A4" s="5"/>
      <c r="B4" s="5" t="s">
        <v>45</v>
      </c>
      <c r="C4" s="6" t="s">
        <v>45</v>
      </c>
      <c r="D4" s="6" t="s">
        <v>45</v>
      </c>
      <c r="E4" s="6" t="s">
        <v>45</v>
      </c>
      <c r="F4" s="7" t="s">
        <v>45</v>
      </c>
      <c r="G4" s="134" t="s">
        <v>45</v>
      </c>
      <c r="H4" s="134" t="s">
        <v>45</v>
      </c>
    </row>
    <row r="5" spans="1:11">
      <c r="A5" s="10"/>
      <c r="B5" s="132"/>
      <c r="C5" s="8"/>
      <c r="D5" s="8"/>
      <c r="E5" s="8"/>
      <c r="F5" s="9"/>
      <c r="G5" s="134"/>
      <c r="H5" s="134"/>
    </row>
    <row r="6" spans="1:11">
      <c r="A6" s="21" t="s">
        <v>5</v>
      </c>
      <c r="B6" s="602">
        <v>4</v>
      </c>
      <c r="C6" s="603">
        <v>2</v>
      </c>
      <c r="D6" s="603">
        <v>0</v>
      </c>
      <c r="E6" s="603">
        <v>11</v>
      </c>
      <c r="F6" s="252">
        <f>SUM(B6:E6)</f>
        <v>17</v>
      </c>
      <c r="G6" s="602">
        <v>1</v>
      </c>
      <c r="H6" s="253">
        <f t="shared" ref="H6:H31" si="0">F6+G6</f>
        <v>18</v>
      </c>
      <c r="K6" s="265"/>
    </row>
    <row r="7" spans="1:11">
      <c r="A7" s="20" t="s">
        <v>6</v>
      </c>
      <c r="B7" s="602">
        <v>4</v>
      </c>
      <c r="C7" s="603">
        <v>1</v>
      </c>
      <c r="D7" s="603">
        <v>2</v>
      </c>
      <c r="E7" s="603">
        <v>1</v>
      </c>
      <c r="F7" s="252">
        <f t="shared" ref="F7:F25" si="1">SUM(B7:E7)</f>
        <v>8</v>
      </c>
      <c r="G7" s="602">
        <v>0</v>
      </c>
      <c r="H7" s="253">
        <f t="shared" si="0"/>
        <v>8</v>
      </c>
    </row>
    <row r="8" spans="1:11">
      <c r="A8" s="22" t="s">
        <v>7</v>
      </c>
      <c r="B8" s="602">
        <v>15</v>
      </c>
      <c r="C8" s="603">
        <v>3</v>
      </c>
      <c r="D8" s="603">
        <v>5</v>
      </c>
      <c r="E8" s="603">
        <v>10</v>
      </c>
      <c r="F8" s="252">
        <f t="shared" si="1"/>
        <v>33</v>
      </c>
      <c r="G8" s="602">
        <v>0</v>
      </c>
      <c r="H8" s="253">
        <f t="shared" si="0"/>
        <v>33</v>
      </c>
    </row>
    <row r="9" spans="1:11">
      <c r="A9" s="22" t="s">
        <v>241</v>
      </c>
      <c r="B9" s="602">
        <v>11</v>
      </c>
      <c r="C9" s="603">
        <v>3</v>
      </c>
      <c r="D9" s="603">
        <v>2</v>
      </c>
      <c r="E9" s="603">
        <v>7</v>
      </c>
      <c r="F9" s="252">
        <f t="shared" si="1"/>
        <v>23</v>
      </c>
      <c r="G9" s="602">
        <v>0</v>
      </c>
      <c r="H9" s="253">
        <f t="shared" si="0"/>
        <v>23</v>
      </c>
    </row>
    <row r="10" spans="1:11">
      <c r="A10" s="22" t="s">
        <v>242</v>
      </c>
      <c r="B10" s="602">
        <v>6</v>
      </c>
      <c r="C10" s="603">
        <v>1</v>
      </c>
      <c r="D10" s="603">
        <v>1</v>
      </c>
      <c r="E10" s="603">
        <v>15</v>
      </c>
      <c r="F10" s="252">
        <f t="shared" si="1"/>
        <v>23</v>
      </c>
      <c r="G10" s="602">
        <v>0</v>
      </c>
      <c r="H10" s="253">
        <f t="shared" si="0"/>
        <v>23</v>
      </c>
      <c r="J10" s="265"/>
    </row>
    <row r="11" spans="1:11">
      <c r="A11" s="22" t="s">
        <v>8</v>
      </c>
      <c r="B11" s="602">
        <v>25</v>
      </c>
      <c r="C11" s="603">
        <v>2</v>
      </c>
      <c r="D11" s="603">
        <v>5</v>
      </c>
      <c r="E11" s="603">
        <v>55</v>
      </c>
      <c r="F11" s="252">
        <f t="shared" si="1"/>
        <v>87</v>
      </c>
      <c r="G11" s="602">
        <v>0</v>
      </c>
      <c r="H11" s="253">
        <f t="shared" si="0"/>
        <v>87</v>
      </c>
    </row>
    <row r="12" spans="1:11">
      <c r="A12" s="22" t="s">
        <v>9</v>
      </c>
      <c r="B12" s="602">
        <v>11</v>
      </c>
      <c r="C12" s="603">
        <v>3</v>
      </c>
      <c r="D12" s="603">
        <v>3</v>
      </c>
      <c r="E12" s="603">
        <v>42</v>
      </c>
      <c r="F12" s="252">
        <f t="shared" si="1"/>
        <v>59</v>
      </c>
      <c r="G12" s="602">
        <v>0</v>
      </c>
      <c r="H12" s="253">
        <f t="shared" si="0"/>
        <v>59</v>
      </c>
    </row>
    <row r="13" spans="1:11">
      <c r="A13" s="22" t="s">
        <v>10</v>
      </c>
      <c r="B13" s="602">
        <v>5</v>
      </c>
      <c r="C13" s="603"/>
      <c r="D13" s="603">
        <v>1</v>
      </c>
      <c r="E13" s="603">
        <v>36</v>
      </c>
      <c r="F13" s="252">
        <f t="shared" si="1"/>
        <v>42</v>
      </c>
      <c r="G13" s="602">
        <v>0</v>
      </c>
      <c r="H13" s="253">
        <f t="shared" si="0"/>
        <v>42</v>
      </c>
    </row>
    <row r="14" spans="1:11">
      <c r="A14" s="22" t="s">
        <v>11</v>
      </c>
      <c r="B14" s="602"/>
      <c r="C14" s="603"/>
      <c r="D14" s="603">
        <v>1</v>
      </c>
      <c r="E14" s="603">
        <v>52</v>
      </c>
      <c r="F14" s="252">
        <f t="shared" si="1"/>
        <v>53</v>
      </c>
      <c r="G14" s="602">
        <v>0</v>
      </c>
      <c r="H14" s="253">
        <f t="shared" si="0"/>
        <v>53</v>
      </c>
    </row>
    <row r="15" spans="1:11">
      <c r="A15" s="22" t="s">
        <v>120</v>
      </c>
      <c r="B15" s="602"/>
      <c r="C15" s="603"/>
      <c r="D15" s="603">
        <v>0</v>
      </c>
      <c r="E15" s="603">
        <v>26</v>
      </c>
      <c r="F15" s="252">
        <f t="shared" si="1"/>
        <v>26</v>
      </c>
      <c r="G15" s="602">
        <v>0</v>
      </c>
      <c r="H15" s="253">
        <f t="shared" si="0"/>
        <v>26</v>
      </c>
    </row>
    <row r="16" spans="1:11">
      <c r="A16" s="22" t="s">
        <v>121</v>
      </c>
      <c r="B16" s="602"/>
      <c r="C16" s="603"/>
      <c r="D16" s="603">
        <v>1</v>
      </c>
      <c r="E16" s="603">
        <v>25</v>
      </c>
      <c r="F16" s="252">
        <f t="shared" si="1"/>
        <v>26</v>
      </c>
      <c r="G16" s="602">
        <v>0</v>
      </c>
      <c r="H16" s="253">
        <f t="shared" si="0"/>
        <v>26</v>
      </c>
    </row>
    <row r="17" spans="1:313">
      <c r="A17" s="22" t="s">
        <v>12</v>
      </c>
      <c r="B17" s="602"/>
      <c r="C17" s="603"/>
      <c r="D17" s="603"/>
      <c r="E17" s="603">
        <v>18</v>
      </c>
      <c r="F17" s="252">
        <f t="shared" si="1"/>
        <v>18</v>
      </c>
      <c r="G17" s="602">
        <v>0</v>
      </c>
      <c r="H17" s="253">
        <f t="shared" si="0"/>
        <v>18</v>
      </c>
    </row>
    <row r="18" spans="1:313" s="181" customFormat="1">
      <c r="A18" s="22" t="s">
        <v>13</v>
      </c>
      <c r="B18" s="602"/>
      <c r="C18" s="603"/>
      <c r="D18" s="603"/>
      <c r="E18" s="603">
        <v>14</v>
      </c>
      <c r="F18" s="252">
        <f t="shared" si="1"/>
        <v>14</v>
      </c>
      <c r="G18" s="602">
        <v>1</v>
      </c>
      <c r="H18" s="253">
        <f t="shared" si="0"/>
        <v>15</v>
      </c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58"/>
      <c r="AT18" s="58"/>
      <c r="AU18" s="58"/>
      <c r="AV18" s="58"/>
      <c r="AW18" s="58"/>
      <c r="AX18" s="58"/>
      <c r="AY18" s="58"/>
      <c r="AZ18" s="58"/>
      <c r="BA18" s="58"/>
      <c r="BB18" s="58"/>
      <c r="BC18" s="58"/>
      <c r="BD18" s="58"/>
      <c r="BE18" s="58"/>
      <c r="BF18" s="58"/>
      <c r="BG18" s="58"/>
      <c r="BH18" s="58"/>
      <c r="BI18" s="58"/>
      <c r="BJ18" s="58"/>
      <c r="BK18" s="58"/>
      <c r="BL18" s="58"/>
      <c r="BM18" s="58"/>
      <c r="BN18" s="58"/>
      <c r="BO18" s="58"/>
      <c r="BP18" s="58"/>
      <c r="BQ18" s="58"/>
      <c r="BR18" s="58"/>
      <c r="BS18" s="58"/>
      <c r="BT18" s="58"/>
      <c r="BU18" s="58"/>
      <c r="BV18" s="58"/>
      <c r="BW18" s="58"/>
      <c r="BX18" s="58"/>
      <c r="BY18" s="58"/>
      <c r="BZ18" s="58"/>
      <c r="CA18" s="58"/>
      <c r="CB18" s="58"/>
      <c r="CC18" s="58"/>
      <c r="CD18" s="58"/>
      <c r="CE18" s="58"/>
      <c r="CF18" s="58"/>
      <c r="CG18" s="58"/>
      <c r="CH18" s="58"/>
      <c r="CI18" s="58"/>
      <c r="CJ18" s="58"/>
      <c r="CK18" s="58"/>
      <c r="CL18" s="58"/>
      <c r="CM18" s="58"/>
      <c r="CN18" s="58"/>
      <c r="CO18" s="58"/>
      <c r="CP18" s="58"/>
      <c r="CQ18" s="58"/>
      <c r="CR18" s="58"/>
      <c r="CS18" s="58"/>
      <c r="CT18" s="58"/>
      <c r="CU18" s="58"/>
      <c r="CV18" s="58"/>
      <c r="CW18" s="58"/>
      <c r="CX18" s="58"/>
      <c r="CY18" s="58"/>
      <c r="CZ18" s="58"/>
      <c r="DA18" s="58"/>
      <c r="DB18" s="58"/>
      <c r="DC18" s="58"/>
      <c r="DD18" s="58"/>
      <c r="DE18" s="58"/>
      <c r="DF18" s="58"/>
      <c r="DG18" s="58"/>
      <c r="DH18" s="58"/>
      <c r="DI18" s="58"/>
      <c r="DJ18" s="58"/>
      <c r="DK18" s="58"/>
      <c r="DL18" s="58"/>
      <c r="DM18" s="58"/>
      <c r="DN18" s="58"/>
      <c r="DO18" s="58"/>
      <c r="DP18" s="58"/>
      <c r="DQ18" s="58"/>
      <c r="DR18" s="58"/>
      <c r="DS18" s="58"/>
      <c r="DT18" s="58"/>
      <c r="DU18" s="58"/>
      <c r="DV18" s="58"/>
      <c r="DW18" s="58"/>
      <c r="DX18" s="58"/>
      <c r="DY18" s="58"/>
      <c r="DZ18" s="58"/>
      <c r="EA18" s="58"/>
      <c r="EB18" s="58"/>
      <c r="EC18" s="58"/>
      <c r="ED18" s="58"/>
      <c r="EE18" s="58"/>
      <c r="EF18" s="58"/>
      <c r="EG18" s="58"/>
      <c r="EH18" s="58"/>
      <c r="EI18" s="58"/>
      <c r="EJ18" s="58"/>
      <c r="EK18" s="58"/>
      <c r="EL18" s="58"/>
      <c r="EM18" s="58"/>
      <c r="EN18" s="58"/>
      <c r="EO18" s="58"/>
      <c r="EP18" s="58"/>
      <c r="EQ18" s="58"/>
      <c r="ER18" s="58"/>
      <c r="ES18" s="58"/>
      <c r="ET18" s="58"/>
      <c r="EU18" s="58"/>
      <c r="EV18" s="58"/>
      <c r="EW18" s="58"/>
      <c r="EX18" s="58"/>
      <c r="EY18" s="58"/>
      <c r="EZ18" s="58"/>
      <c r="FA18" s="58"/>
      <c r="FB18" s="58"/>
      <c r="FC18" s="58"/>
      <c r="FD18" s="58"/>
      <c r="FE18" s="58"/>
      <c r="FF18" s="58"/>
      <c r="FG18" s="58"/>
      <c r="FH18" s="58"/>
      <c r="FI18" s="58"/>
      <c r="FJ18" s="58"/>
      <c r="FK18" s="58"/>
      <c r="FL18" s="58"/>
      <c r="FM18" s="58"/>
      <c r="FN18" s="58"/>
      <c r="FO18" s="58"/>
      <c r="FP18" s="58"/>
      <c r="FQ18" s="58"/>
      <c r="FR18" s="58"/>
      <c r="FS18" s="58"/>
      <c r="FT18" s="58"/>
      <c r="FU18" s="58"/>
      <c r="FV18" s="58"/>
      <c r="FW18" s="58"/>
      <c r="FX18" s="58"/>
      <c r="FY18" s="58"/>
      <c r="FZ18" s="58"/>
      <c r="GA18" s="58"/>
      <c r="GB18" s="58"/>
      <c r="GC18" s="58"/>
      <c r="GD18" s="58"/>
      <c r="GE18" s="58"/>
      <c r="GF18" s="58"/>
      <c r="GG18" s="58"/>
      <c r="GH18" s="58"/>
      <c r="GI18" s="58"/>
      <c r="GJ18" s="58"/>
      <c r="GK18" s="58"/>
      <c r="GL18" s="58"/>
      <c r="GM18" s="58"/>
      <c r="GN18" s="58"/>
      <c r="GO18" s="58"/>
      <c r="GP18" s="58"/>
      <c r="GQ18" s="58"/>
      <c r="GR18" s="58"/>
      <c r="GS18" s="58"/>
      <c r="GT18" s="58"/>
      <c r="GU18" s="58"/>
      <c r="GV18" s="58"/>
      <c r="GW18" s="58"/>
      <c r="GX18" s="58"/>
      <c r="GY18" s="58"/>
      <c r="GZ18" s="58"/>
      <c r="HA18" s="58"/>
      <c r="HB18" s="58"/>
      <c r="HC18" s="58"/>
      <c r="HD18" s="58"/>
      <c r="HE18" s="58"/>
      <c r="HF18" s="58"/>
      <c r="HG18" s="58"/>
      <c r="HH18" s="58"/>
      <c r="HI18" s="58"/>
      <c r="HJ18" s="58"/>
      <c r="HK18" s="58"/>
      <c r="HL18" s="58"/>
      <c r="HM18" s="58"/>
      <c r="HN18" s="58"/>
      <c r="HO18" s="58"/>
      <c r="HP18" s="58"/>
      <c r="HQ18" s="58"/>
      <c r="HR18" s="58"/>
      <c r="HS18" s="58"/>
      <c r="HT18" s="58"/>
      <c r="HU18" s="58"/>
      <c r="HV18" s="58"/>
      <c r="HW18" s="58"/>
      <c r="HX18" s="58"/>
      <c r="HY18" s="58"/>
      <c r="HZ18" s="58"/>
      <c r="IA18" s="58"/>
      <c r="IB18" s="58"/>
      <c r="IC18" s="58"/>
      <c r="ID18" s="58"/>
      <c r="IE18" s="58"/>
      <c r="IF18" s="58"/>
      <c r="IG18" s="58"/>
      <c r="IH18" s="58"/>
      <c r="II18" s="58"/>
      <c r="IJ18" s="58"/>
      <c r="IK18" s="58"/>
      <c r="IL18" s="58"/>
      <c r="IM18" s="58"/>
      <c r="IN18" s="58"/>
      <c r="IO18" s="58"/>
      <c r="IP18" s="58"/>
      <c r="IQ18" s="58"/>
      <c r="IR18" s="58"/>
      <c r="IS18" s="58"/>
      <c r="IT18" s="58"/>
      <c r="IU18" s="58"/>
      <c r="IV18" s="58"/>
      <c r="IW18" s="58"/>
      <c r="IX18" s="58"/>
      <c r="IY18" s="58"/>
      <c r="IZ18" s="58"/>
      <c r="JA18" s="58"/>
      <c r="JB18" s="58"/>
      <c r="JC18" s="58"/>
      <c r="JD18" s="58"/>
      <c r="JE18" s="58"/>
      <c r="JF18" s="58"/>
      <c r="JG18" s="58"/>
      <c r="JH18" s="58"/>
      <c r="JI18" s="58"/>
      <c r="JJ18" s="58"/>
      <c r="JK18" s="58"/>
      <c r="JL18" s="58"/>
      <c r="JM18" s="58"/>
      <c r="JN18" s="58"/>
      <c r="JO18" s="58"/>
      <c r="JP18" s="58"/>
      <c r="JQ18" s="58"/>
      <c r="JR18" s="58"/>
      <c r="JS18" s="58"/>
      <c r="JT18" s="58"/>
      <c r="JU18" s="58"/>
      <c r="JV18" s="58"/>
      <c r="JW18" s="58"/>
      <c r="JX18" s="58"/>
      <c r="JY18" s="58"/>
      <c r="JZ18" s="58"/>
      <c r="KA18" s="58"/>
      <c r="KB18" s="58"/>
      <c r="KC18" s="58"/>
      <c r="KD18" s="58"/>
      <c r="KE18" s="58"/>
      <c r="KF18" s="58"/>
      <c r="KG18" s="58"/>
      <c r="KH18" s="58"/>
      <c r="KI18" s="58"/>
      <c r="KJ18" s="58"/>
      <c r="KK18" s="58"/>
      <c r="KL18" s="58"/>
      <c r="KM18" s="58"/>
      <c r="KN18" s="58"/>
      <c r="KO18" s="58"/>
      <c r="KP18" s="58"/>
      <c r="KQ18" s="58"/>
      <c r="KR18" s="58"/>
      <c r="KS18" s="58"/>
      <c r="KT18" s="58"/>
      <c r="KU18" s="58"/>
      <c r="KV18" s="58"/>
      <c r="KW18" s="58"/>
      <c r="KX18" s="58"/>
      <c r="KY18" s="58"/>
      <c r="KZ18" s="58"/>
      <c r="LA18" s="58"/>
    </row>
    <row r="19" spans="1:313">
      <c r="A19" s="22" t="s">
        <v>122</v>
      </c>
      <c r="B19" s="602"/>
      <c r="C19" s="603"/>
      <c r="D19" s="603"/>
      <c r="E19" s="603">
        <v>7</v>
      </c>
      <c r="F19" s="252">
        <f t="shared" si="1"/>
        <v>7</v>
      </c>
      <c r="G19" s="602">
        <v>1</v>
      </c>
      <c r="H19" s="253">
        <f t="shared" si="0"/>
        <v>8</v>
      </c>
    </row>
    <row r="20" spans="1:313">
      <c r="A20" s="21" t="s">
        <v>123</v>
      </c>
      <c r="B20" s="602"/>
      <c r="C20" s="603"/>
      <c r="D20" s="603"/>
      <c r="E20" s="603">
        <v>4</v>
      </c>
      <c r="F20" s="252">
        <f t="shared" si="1"/>
        <v>4</v>
      </c>
      <c r="G20" s="602">
        <v>0</v>
      </c>
      <c r="H20" s="253">
        <f t="shared" si="0"/>
        <v>4</v>
      </c>
      <c r="I20" s="265"/>
    </row>
    <row r="21" spans="1:313">
      <c r="A21" s="21" t="s">
        <v>14</v>
      </c>
      <c r="B21" s="602"/>
      <c r="C21" s="603"/>
      <c r="D21" s="603"/>
      <c r="E21" s="603">
        <v>9</v>
      </c>
      <c r="F21" s="252">
        <f t="shared" si="1"/>
        <v>9</v>
      </c>
      <c r="G21" s="602">
        <v>4</v>
      </c>
      <c r="H21" s="253">
        <f t="shared" si="0"/>
        <v>13</v>
      </c>
    </row>
    <row r="22" spans="1:313">
      <c r="A22" s="22" t="s">
        <v>15</v>
      </c>
      <c r="B22" s="602"/>
      <c r="C22" s="603"/>
      <c r="D22" s="603"/>
      <c r="E22" s="603">
        <v>5</v>
      </c>
      <c r="F22" s="252">
        <f t="shared" si="1"/>
        <v>5</v>
      </c>
      <c r="G22" s="602">
        <v>1</v>
      </c>
      <c r="H22" s="253">
        <f t="shared" si="0"/>
        <v>6</v>
      </c>
    </row>
    <row r="23" spans="1:313">
      <c r="A23" s="22" t="s">
        <v>16</v>
      </c>
      <c r="B23" s="602"/>
      <c r="C23" s="603"/>
      <c r="D23" s="603"/>
      <c r="E23" s="603">
        <v>7</v>
      </c>
      <c r="F23" s="252">
        <f t="shared" si="1"/>
        <v>7</v>
      </c>
      <c r="G23" s="602">
        <v>0</v>
      </c>
      <c r="H23" s="253">
        <f t="shared" si="0"/>
        <v>7</v>
      </c>
    </row>
    <row r="24" spans="1:313">
      <c r="A24" s="22" t="s">
        <v>17</v>
      </c>
      <c r="B24" s="602"/>
      <c r="C24" s="603"/>
      <c r="D24" s="603"/>
      <c r="E24" s="603">
        <v>7</v>
      </c>
      <c r="F24" s="252">
        <f t="shared" si="1"/>
        <v>7</v>
      </c>
      <c r="G24" s="602">
        <v>3</v>
      </c>
      <c r="H24" s="253">
        <f t="shared" si="0"/>
        <v>10</v>
      </c>
    </row>
    <row r="25" spans="1:313">
      <c r="A25" s="22" t="s">
        <v>18</v>
      </c>
      <c r="B25" s="602"/>
      <c r="C25" s="603"/>
      <c r="D25" s="603"/>
      <c r="E25" s="603">
        <v>2</v>
      </c>
      <c r="F25" s="252">
        <f t="shared" si="1"/>
        <v>2</v>
      </c>
      <c r="G25" s="602">
        <v>0</v>
      </c>
      <c r="H25" s="253">
        <f t="shared" si="0"/>
        <v>2</v>
      </c>
    </row>
    <row r="26" spans="1:313">
      <c r="A26" s="22" t="s">
        <v>19</v>
      </c>
      <c r="B26" s="602"/>
      <c r="C26" s="603"/>
      <c r="D26" s="603"/>
      <c r="E26" s="603"/>
      <c r="F26" s="252"/>
      <c r="G26" s="602">
        <v>1</v>
      </c>
      <c r="H26" s="253">
        <f t="shared" si="0"/>
        <v>1</v>
      </c>
    </row>
    <row r="27" spans="1:313">
      <c r="A27" s="22" t="s">
        <v>20</v>
      </c>
      <c r="B27" s="602"/>
      <c r="C27" s="603"/>
      <c r="D27" s="603"/>
      <c r="E27" s="603"/>
      <c r="F27" s="252"/>
      <c r="G27" s="602">
        <v>3</v>
      </c>
      <c r="H27" s="253">
        <f t="shared" si="0"/>
        <v>3</v>
      </c>
    </row>
    <row r="28" spans="1:313">
      <c r="A28" s="22" t="s">
        <v>21</v>
      </c>
      <c r="B28" s="602"/>
      <c r="C28" s="603"/>
      <c r="D28" s="603"/>
      <c r="E28" s="603"/>
      <c r="F28" s="252"/>
      <c r="G28" s="602">
        <v>1</v>
      </c>
      <c r="H28" s="253">
        <f t="shared" si="0"/>
        <v>1</v>
      </c>
    </row>
    <row r="29" spans="1:313">
      <c r="A29" s="22" t="s">
        <v>22</v>
      </c>
      <c r="B29" s="602"/>
      <c r="C29" s="603"/>
      <c r="D29" s="603"/>
      <c r="E29" s="603"/>
      <c r="F29" s="252"/>
      <c r="G29" s="602">
        <v>1</v>
      </c>
      <c r="H29" s="253">
        <f t="shared" si="0"/>
        <v>1</v>
      </c>
    </row>
    <row r="30" spans="1:313">
      <c r="A30" s="21" t="s">
        <v>23</v>
      </c>
      <c r="B30" s="602"/>
      <c r="C30" s="603"/>
      <c r="D30" s="603"/>
      <c r="E30" s="603"/>
      <c r="F30" s="252"/>
      <c r="G30" s="602">
        <v>2</v>
      </c>
      <c r="H30" s="253">
        <f t="shared" si="0"/>
        <v>2</v>
      </c>
    </row>
    <row r="31" spans="1:313">
      <c r="A31" s="21" t="s">
        <v>24</v>
      </c>
      <c r="B31" s="602"/>
      <c r="C31" s="603"/>
      <c r="D31" s="603"/>
      <c r="E31" s="603"/>
      <c r="F31" s="252"/>
      <c r="G31" s="602">
        <v>2</v>
      </c>
      <c r="H31" s="253">
        <f t="shared" si="0"/>
        <v>2</v>
      </c>
    </row>
    <row r="32" spans="1:313">
      <c r="A32" s="21" t="s">
        <v>25</v>
      </c>
      <c r="B32" s="250"/>
      <c r="C32" s="251"/>
      <c r="D32" s="251"/>
      <c r="E32" s="251"/>
      <c r="F32" s="252"/>
      <c r="G32" s="602"/>
      <c r="H32" s="253"/>
    </row>
    <row r="33" spans="1:313" s="181" customFormat="1">
      <c r="A33" s="21" t="s">
        <v>125</v>
      </c>
      <c r="B33" s="250"/>
      <c r="C33" s="251"/>
      <c r="D33" s="251"/>
      <c r="E33" s="251"/>
      <c r="F33" s="252"/>
      <c r="G33" s="602"/>
      <c r="H33" s="253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8"/>
      <c r="BE33" s="58"/>
      <c r="BF33" s="58"/>
      <c r="BG33" s="58"/>
      <c r="BH33" s="58"/>
      <c r="BI33" s="58"/>
      <c r="BJ33" s="58"/>
      <c r="BK33" s="58"/>
      <c r="BL33" s="58"/>
      <c r="BM33" s="58"/>
      <c r="BN33" s="58"/>
      <c r="BO33" s="58"/>
      <c r="BP33" s="58"/>
      <c r="BQ33" s="58"/>
      <c r="BR33" s="58"/>
      <c r="BS33" s="58"/>
      <c r="BT33" s="58"/>
      <c r="BU33" s="58"/>
      <c r="BV33" s="58"/>
      <c r="BW33" s="58"/>
      <c r="BX33" s="58"/>
      <c r="BY33" s="58"/>
      <c r="BZ33" s="58"/>
      <c r="CA33" s="58"/>
      <c r="CB33" s="58"/>
      <c r="CC33" s="58"/>
      <c r="CD33" s="58"/>
      <c r="CE33" s="58"/>
      <c r="CF33" s="58"/>
      <c r="CG33" s="58"/>
      <c r="CH33" s="58"/>
      <c r="CI33" s="58"/>
      <c r="CJ33" s="58"/>
      <c r="CK33" s="58"/>
      <c r="CL33" s="58"/>
      <c r="CM33" s="58"/>
      <c r="CN33" s="58"/>
      <c r="CO33" s="58"/>
      <c r="CP33" s="58"/>
      <c r="CQ33" s="58"/>
      <c r="CR33" s="58"/>
      <c r="CS33" s="58"/>
      <c r="CT33" s="58"/>
      <c r="CU33" s="58"/>
      <c r="CV33" s="58"/>
      <c r="CW33" s="58"/>
      <c r="CX33" s="58"/>
      <c r="CY33" s="58"/>
      <c r="CZ33" s="58"/>
      <c r="DA33" s="58"/>
      <c r="DB33" s="58"/>
      <c r="DC33" s="58"/>
      <c r="DD33" s="58"/>
      <c r="DE33" s="58"/>
      <c r="DF33" s="58"/>
      <c r="DG33" s="58"/>
      <c r="DH33" s="58"/>
      <c r="DI33" s="58"/>
      <c r="DJ33" s="58"/>
      <c r="DK33" s="58"/>
      <c r="DL33" s="58"/>
      <c r="DM33" s="58"/>
      <c r="DN33" s="58"/>
      <c r="DO33" s="58"/>
      <c r="DP33" s="58"/>
      <c r="DQ33" s="58"/>
      <c r="DR33" s="58"/>
      <c r="DS33" s="58"/>
      <c r="DT33" s="58"/>
      <c r="DU33" s="58"/>
      <c r="DV33" s="58"/>
      <c r="DW33" s="58"/>
      <c r="DX33" s="58"/>
      <c r="DY33" s="58"/>
      <c r="DZ33" s="58"/>
      <c r="EA33" s="58"/>
      <c r="EB33" s="58"/>
      <c r="EC33" s="58"/>
      <c r="ED33" s="58"/>
      <c r="EE33" s="58"/>
      <c r="EF33" s="58"/>
      <c r="EG33" s="58"/>
      <c r="EH33" s="58"/>
      <c r="EI33" s="58"/>
      <c r="EJ33" s="58"/>
      <c r="EK33" s="58"/>
      <c r="EL33" s="58"/>
      <c r="EM33" s="58"/>
      <c r="EN33" s="58"/>
      <c r="EO33" s="58"/>
      <c r="EP33" s="58"/>
      <c r="EQ33" s="58"/>
      <c r="ER33" s="58"/>
      <c r="ES33" s="58"/>
      <c r="ET33" s="58"/>
      <c r="EU33" s="58"/>
      <c r="EV33" s="58"/>
      <c r="EW33" s="58"/>
      <c r="EX33" s="58"/>
      <c r="EY33" s="58"/>
      <c r="EZ33" s="58"/>
      <c r="FA33" s="58"/>
      <c r="FB33" s="58"/>
      <c r="FC33" s="58"/>
      <c r="FD33" s="58"/>
      <c r="FE33" s="58"/>
      <c r="FF33" s="58"/>
      <c r="FG33" s="58"/>
      <c r="FH33" s="58"/>
      <c r="FI33" s="58"/>
      <c r="FJ33" s="58"/>
      <c r="FK33" s="58"/>
      <c r="FL33" s="58"/>
      <c r="FM33" s="58"/>
      <c r="FN33" s="58"/>
      <c r="FO33" s="58"/>
      <c r="FP33" s="58"/>
      <c r="FQ33" s="58"/>
      <c r="FR33" s="58"/>
      <c r="FS33" s="58"/>
      <c r="FT33" s="58"/>
      <c r="FU33" s="58"/>
      <c r="FV33" s="58"/>
      <c r="FW33" s="58"/>
      <c r="FX33" s="58"/>
      <c r="FY33" s="58"/>
      <c r="FZ33" s="58"/>
      <c r="GA33" s="58"/>
      <c r="GB33" s="58"/>
      <c r="GC33" s="58"/>
      <c r="GD33" s="58"/>
      <c r="GE33" s="58"/>
      <c r="GF33" s="58"/>
      <c r="GG33" s="58"/>
      <c r="GH33" s="58"/>
      <c r="GI33" s="58"/>
      <c r="GJ33" s="58"/>
      <c r="GK33" s="58"/>
      <c r="GL33" s="58"/>
      <c r="GM33" s="58"/>
      <c r="GN33" s="58"/>
      <c r="GO33" s="58"/>
      <c r="GP33" s="58"/>
      <c r="GQ33" s="58"/>
      <c r="GR33" s="58"/>
      <c r="GS33" s="58"/>
      <c r="GT33" s="58"/>
      <c r="GU33" s="58"/>
      <c r="GV33" s="58"/>
      <c r="GW33" s="58"/>
      <c r="GX33" s="58"/>
      <c r="GY33" s="58"/>
      <c r="GZ33" s="58"/>
      <c r="HA33" s="58"/>
      <c r="HB33" s="58"/>
      <c r="HC33" s="58"/>
      <c r="HD33" s="58"/>
      <c r="HE33" s="58"/>
      <c r="HF33" s="58"/>
      <c r="HG33" s="58"/>
      <c r="HH33" s="58"/>
      <c r="HI33" s="58"/>
      <c r="HJ33" s="58"/>
      <c r="HK33" s="58"/>
      <c r="HL33" s="58"/>
      <c r="HM33" s="58"/>
      <c r="HN33" s="58"/>
      <c r="HO33" s="58"/>
      <c r="HP33" s="58"/>
      <c r="HQ33" s="58"/>
      <c r="HR33" s="58"/>
      <c r="HS33" s="58"/>
      <c r="HT33" s="58"/>
      <c r="HU33" s="58"/>
      <c r="HV33" s="58"/>
      <c r="HW33" s="58"/>
      <c r="HX33" s="58"/>
      <c r="HY33" s="58"/>
      <c r="HZ33" s="58"/>
      <c r="IA33" s="58"/>
      <c r="IB33" s="58"/>
      <c r="IC33" s="58"/>
      <c r="ID33" s="58"/>
      <c r="IE33" s="58"/>
      <c r="IF33" s="58"/>
      <c r="IG33" s="58"/>
      <c r="IH33" s="58"/>
      <c r="II33" s="58"/>
      <c r="IJ33" s="58"/>
      <c r="IK33" s="58"/>
      <c r="IL33" s="58"/>
      <c r="IM33" s="58"/>
      <c r="IN33" s="58"/>
      <c r="IO33" s="58"/>
      <c r="IP33" s="58"/>
      <c r="IQ33" s="58"/>
      <c r="IR33" s="58"/>
      <c r="IS33" s="58"/>
      <c r="IT33" s="58"/>
      <c r="IU33" s="58"/>
      <c r="IV33" s="58"/>
      <c r="IW33" s="58"/>
      <c r="IX33" s="58"/>
      <c r="IY33" s="58"/>
      <c r="IZ33" s="58"/>
      <c r="JA33" s="58"/>
      <c r="JB33" s="58"/>
      <c r="JC33" s="58"/>
      <c r="JD33" s="58"/>
      <c r="JE33" s="58"/>
      <c r="JF33" s="58"/>
      <c r="JG33" s="58"/>
      <c r="JH33" s="58"/>
      <c r="JI33" s="58"/>
      <c r="JJ33" s="58"/>
      <c r="JK33" s="58"/>
      <c r="JL33" s="58"/>
      <c r="JM33" s="58"/>
      <c r="JN33" s="58"/>
      <c r="JO33" s="58"/>
      <c r="JP33" s="58"/>
      <c r="JQ33" s="58"/>
      <c r="JR33" s="58"/>
      <c r="JS33" s="58"/>
      <c r="JT33" s="58"/>
      <c r="JU33" s="58"/>
      <c r="JV33" s="58"/>
      <c r="JW33" s="58"/>
      <c r="JX33" s="58"/>
      <c r="JY33" s="58"/>
      <c r="JZ33" s="58"/>
      <c r="KA33" s="58"/>
      <c r="KB33" s="58"/>
      <c r="KC33" s="58"/>
      <c r="KD33" s="58"/>
      <c r="KE33" s="58"/>
      <c r="KF33" s="58"/>
      <c r="KG33" s="58"/>
      <c r="KH33" s="58"/>
      <c r="KI33" s="58"/>
      <c r="KJ33" s="58"/>
      <c r="KK33" s="58"/>
      <c r="KL33" s="58"/>
      <c r="KM33" s="58"/>
      <c r="KN33" s="58"/>
      <c r="KO33" s="58"/>
      <c r="KP33" s="58"/>
      <c r="KQ33" s="58"/>
      <c r="KR33" s="58"/>
      <c r="KS33" s="58"/>
      <c r="KT33" s="58"/>
      <c r="KU33" s="58"/>
      <c r="KV33" s="58"/>
      <c r="KW33" s="58"/>
      <c r="KX33" s="58"/>
      <c r="KY33" s="58"/>
      <c r="KZ33" s="58"/>
      <c r="LA33" s="58"/>
    </row>
    <row r="34" spans="1:313">
      <c r="A34" s="21" t="s">
        <v>126</v>
      </c>
      <c r="B34" s="250"/>
      <c r="C34" s="251"/>
      <c r="D34" s="251"/>
      <c r="E34" s="251"/>
      <c r="F34" s="252"/>
      <c r="G34" s="253"/>
      <c r="H34" s="253"/>
    </row>
    <row r="35" spans="1:313" s="181" customFormat="1">
      <c r="A35" s="22" t="s">
        <v>26</v>
      </c>
      <c r="B35" s="250"/>
      <c r="C35" s="251"/>
      <c r="D35" s="251"/>
      <c r="E35" s="251"/>
      <c r="F35" s="252"/>
      <c r="G35" s="253"/>
      <c r="H35" s="253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58"/>
      <c r="BF35" s="58"/>
      <c r="BG35" s="58"/>
      <c r="BH35" s="58"/>
      <c r="BI35" s="58"/>
      <c r="BJ35" s="58"/>
      <c r="BK35" s="58"/>
      <c r="BL35" s="58"/>
      <c r="BM35" s="58"/>
      <c r="BN35" s="58"/>
      <c r="BO35" s="58"/>
      <c r="BP35" s="58"/>
      <c r="BQ35" s="58"/>
      <c r="BR35" s="58"/>
      <c r="BS35" s="58"/>
      <c r="BT35" s="58"/>
      <c r="BU35" s="58"/>
      <c r="BV35" s="58"/>
      <c r="BW35" s="58"/>
      <c r="BX35" s="58"/>
      <c r="BY35" s="58"/>
      <c r="BZ35" s="58"/>
      <c r="CA35" s="58"/>
      <c r="CB35" s="58"/>
      <c r="CC35" s="58"/>
      <c r="CD35" s="58"/>
      <c r="CE35" s="58"/>
      <c r="CF35" s="58"/>
      <c r="CG35" s="58"/>
      <c r="CH35" s="58"/>
      <c r="CI35" s="58"/>
      <c r="CJ35" s="58"/>
      <c r="CK35" s="58"/>
      <c r="CL35" s="58"/>
      <c r="CM35" s="58"/>
      <c r="CN35" s="58"/>
      <c r="CO35" s="58"/>
      <c r="CP35" s="58"/>
      <c r="CQ35" s="58"/>
      <c r="CR35" s="58"/>
      <c r="CS35" s="58"/>
      <c r="CT35" s="58"/>
      <c r="CU35" s="58"/>
      <c r="CV35" s="58"/>
      <c r="CW35" s="58"/>
      <c r="CX35" s="58"/>
      <c r="CY35" s="58"/>
      <c r="CZ35" s="58"/>
      <c r="DA35" s="58"/>
      <c r="DB35" s="58"/>
      <c r="DC35" s="58"/>
      <c r="DD35" s="58"/>
      <c r="DE35" s="58"/>
      <c r="DF35" s="58"/>
      <c r="DG35" s="58"/>
      <c r="DH35" s="58"/>
      <c r="DI35" s="58"/>
      <c r="DJ35" s="58"/>
      <c r="DK35" s="58"/>
      <c r="DL35" s="58"/>
      <c r="DM35" s="58"/>
      <c r="DN35" s="58"/>
      <c r="DO35" s="58"/>
      <c r="DP35" s="58"/>
      <c r="DQ35" s="58"/>
      <c r="DR35" s="58"/>
      <c r="DS35" s="58"/>
      <c r="DT35" s="58"/>
      <c r="DU35" s="58"/>
      <c r="DV35" s="58"/>
      <c r="DW35" s="58"/>
      <c r="DX35" s="58"/>
      <c r="DY35" s="58"/>
      <c r="DZ35" s="58"/>
      <c r="EA35" s="58"/>
      <c r="EB35" s="58"/>
      <c r="EC35" s="58"/>
      <c r="ED35" s="58"/>
      <c r="EE35" s="58"/>
      <c r="EF35" s="58"/>
      <c r="EG35" s="58"/>
      <c r="EH35" s="58"/>
      <c r="EI35" s="58"/>
      <c r="EJ35" s="58"/>
      <c r="EK35" s="58"/>
      <c r="EL35" s="58"/>
      <c r="EM35" s="58"/>
      <c r="EN35" s="58"/>
      <c r="EO35" s="58"/>
      <c r="EP35" s="58"/>
      <c r="EQ35" s="58"/>
      <c r="ER35" s="58"/>
      <c r="ES35" s="58"/>
      <c r="ET35" s="58"/>
      <c r="EU35" s="58"/>
      <c r="EV35" s="58"/>
      <c r="EW35" s="58"/>
      <c r="EX35" s="58"/>
      <c r="EY35" s="58"/>
      <c r="EZ35" s="58"/>
      <c r="FA35" s="58"/>
      <c r="FB35" s="58"/>
      <c r="FC35" s="58"/>
      <c r="FD35" s="58"/>
      <c r="FE35" s="58"/>
      <c r="FF35" s="58"/>
      <c r="FG35" s="58"/>
      <c r="FH35" s="58"/>
      <c r="FI35" s="58"/>
      <c r="FJ35" s="58"/>
      <c r="FK35" s="58"/>
      <c r="FL35" s="58"/>
      <c r="FM35" s="58"/>
      <c r="FN35" s="58"/>
      <c r="FO35" s="58"/>
      <c r="FP35" s="58"/>
      <c r="FQ35" s="58"/>
      <c r="FR35" s="58"/>
      <c r="FS35" s="58"/>
      <c r="FT35" s="58"/>
      <c r="FU35" s="58"/>
      <c r="FV35" s="58"/>
      <c r="FW35" s="58"/>
      <c r="FX35" s="58"/>
      <c r="FY35" s="58"/>
      <c r="FZ35" s="58"/>
      <c r="GA35" s="58"/>
      <c r="GB35" s="58"/>
      <c r="GC35" s="58"/>
      <c r="GD35" s="58"/>
      <c r="GE35" s="58"/>
      <c r="GF35" s="58"/>
      <c r="GG35" s="58"/>
      <c r="GH35" s="58"/>
      <c r="GI35" s="58"/>
      <c r="GJ35" s="58"/>
      <c r="GK35" s="58"/>
      <c r="GL35" s="58"/>
      <c r="GM35" s="58"/>
      <c r="GN35" s="58"/>
      <c r="GO35" s="58"/>
      <c r="GP35" s="58"/>
      <c r="GQ35" s="58"/>
      <c r="GR35" s="58"/>
      <c r="GS35" s="58"/>
      <c r="GT35" s="58"/>
      <c r="GU35" s="58"/>
      <c r="GV35" s="58"/>
      <c r="GW35" s="58"/>
      <c r="GX35" s="58"/>
      <c r="GY35" s="58"/>
      <c r="GZ35" s="58"/>
      <c r="HA35" s="58"/>
      <c r="HB35" s="58"/>
      <c r="HC35" s="58"/>
      <c r="HD35" s="58"/>
      <c r="HE35" s="58"/>
      <c r="HF35" s="58"/>
      <c r="HG35" s="58"/>
      <c r="HH35" s="58"/>
      <c r="HI35" s="58"/>
      <c r="HJ35" s="58"/>
      <c r="HK35" s="58"/>
      <c r="HL35" s="58"/>
      <c r="HM35" s="58"/>
      <c r="HN35" s="58"/>
      <c r="HO35" s="58"/>
      <c r="HP35" s="58"/>
      <c r="HQ35" s="58"/>
      <c r="HR35" s="58"/>
      <c r="HS35" s="58"/>
      <c r="HT35" s="58"/>
      <c r="HU35" s="58"/>
      <c r="HV35" s="58"/>
      <c r="HW35" s="58"/>
      <c r="HX35" s="58"/>
      <c r="HY35" s="58"/>
      <c r="HZ35" s="58"/>
      <c r="IA35" s="58"/>
      <c r="IB35" s="58"/>
      <c r="IC35" s="58"/>
      <c r="ID35" s="58"/>
      <c r="IE35" s="58"/>
      <c r="IF35" s="58"/>
      <c r="IG35" s="58"/>
      <c r="IH35" s="58"/>
      <c r="II35" s="58"/>
      <c r="IJ35" s="58"/>
      <c r="IK35" s="58"/>
      <c r="IL35" s="58"/>
      <c r="IM35" s="58"/>
      <c r="IN35" s="58"/>
      <c r="IO35" s="58"/>
      <c r="IP35" s="58"/>
      <c r="IQ35" s="58"/>
      <c r="IR35" s="58"/>
      <c r="IS35" s="58"/>
      <c r="IT35" s="58"/>
      <c r="IU35" s="58"/>
      <c r="IV35" s="58"/>
      <c r="IW35" s="58"/>
      <c r="IX35" s="58"/>
      <c r="IY35" s="58"/>
      <c r="IZ35" s="58"/>
      <c r="JA35" s="58"/>
      <c r="JB35" s="58"/>
      <c r="JC35" s="58"/>
      <c r="JD35" s="58"/>
      <c r="JE35" s="58"/>
      <c r="JF35" s="58"/>
      <c r="JG35" s="58"/>
      <c r="JH35" s="58"/>
      <c r="JI35" s="58"/>
      <c r="JJ35" s="58"/>
      <c r="JK35" s="58"/>
      <c r="JL35" s="58"/>
      <c r="JM35" s="58"/>
      <c r="JN35" s="58"/>
      <c r="JO35" s="58"/>
      <c r="JP35" s="58"/>
      <c r="JQ35" s="58"/>
      <c r="JR35" s="58"/>
      <c r="JS35" s="58"/>
      <c r="JT35" s="58"/>
      <c r="JU35" s="58"/>
      <c r="JV35" s="58"/>
      <c r="JW35" s="58"/>
      <c r="JX35" s="58"/>
      <c r="JY35" s="58"/>
      <c r="JZ35" s="58"/>
      <c r="KA35" s="58"/>
      <c r="KB35" s="58"/>
      <c r="KC35" s="58"/>
      <c r="KD35" s="58"/>
      <c r="KE35" s="58"/>
      <c r="KF35" s="58"/>
      <c r="KG35" s="58"/>
      <c r="KH35" s="58"/>
      <c r="KI35" s="58"/>
      <c r="KJ35" s="58"/>
      <c r="KK35" s="58"/>
      <c r="KL35" s="58"/>
      <c r="KM35" s="58"/>
      <c r="KN35" s="58"/>
      <c r="KO35" s="58"/>
      <c r="KP35" s="58"/>
      <c r="KQ35" s="58"/>
      <c r="KR35" s="58"/>
      <c r="KS35" s="58"/>
      <c r="KT35" s="58"/>
      <c r="KU35" s="58"/>
      <c r="KV35" s="58"/>
      <c r="KW35" s="58"/>
      <c r="KX35" s="58"/>
      <c r="KY35" s="58"/>
      <c r="KZ35" s="58"/>
      <c r="LA35" s="58"/>
    </row>
    <row r="36" spans="1:313">
      <c r="A36" s="22" t="s">
        <v>27</v>
      </c>
      <c r="B36" s="250"/>
      <c r="C36" s="251"/>
      <c r="D36" s="251"/>
      <c r="E36" s="251"/>
      <c r="F36" s="252"/>
      <c r="G36" s="253"/>
      <c r="H36" s="253"/>
    </row>
    <row r="37" spans="1:313" ht="13.5" thickBot="1">
      <c r="A37" s="21"/>
      <c r="B37" s="277"/>
      <c r="C37" s="278"/>
      <c r="D37" s="278"/>
      <c r="E37" s="278"/>
      <c r="F37" s="266"/>
      <c r="G37" s="306"/>
      <c r="H37" s="306"/>
    </row>
    <row r="38" spans="1:313" ht="13.5" thickBot="1">
      <c r="A38" s="280" t="s">
        <v>2</v>
      </c>
      <c r="B38" s="267">
        <f t="shared" ref="B38:H38" si="2">SUM(B6:B37)</f>
        <v>81</v>
      </c>
      <c r="C38" s="268">
        <f t="shared" si="2"/>
        <v>15</v>
      </c>
      <c r="D38" s="268">
        <f t="shared" si="2"/>
        <v>21</v>
      </c>
      <c r="E38" s="268">
        <f t="shared" si="2"/>
        <v>353</v>
      </c>
      <c r="F38" s="269">
        <f t="shared" si="2"/>
        <v>470</v>
      </c>
      <c r="G38" s="270">
        <f t="shared" si="2"/>
        <v>21</v>
      </c>
      <c r="H38" s="306">
        <f t="shared" si="2"/>
        <v>491</v>
      </c>
      <c r="I38" s="265"/>
    </row>
    <row r="39" spans="1:313">
      <c r="A39" s="149" t="s">
        <v>134</v>
      </c>
      <c r="B39" s="362">
        <f>SUM(B6:B9)</f>
        <v>34</v>
      </c>
      <c r="C39" s="363">
        <f t="shared" ref="C39:H39" si="3">SUM(C6:C9)</f>
        <v>9</v>
      </c>
      <c r="D39" s="363">
        <f t="shared" si="3"/>
        <v>9</v>
      </c>
      <c r="E39" s="363">
        <f t="shared" si="3"/>
        <v>29</v>
      </c>
      <c r="F39" s="364">
        <f t="shared" si="3"/>
        <v>81</v>
      </c>
      <c r="G39" s="368">
        <f t="shared" si="3"/>
        <v>1</v>
      </c>
      <c r="H39" s="364">
        <f t="shared" si="3"/>
        <v>82</v>
      </c>
    </row>
    <row r="40" spans="1:313" ht="13.5" thickBot="1">
      <c r="A40" s="323" t="s">
        <v>135</v>
      </c>
      <c r="B40" s="365">
        <f>SUM(B10:B36)</f>
        <v>47</v>
      </c>
      <c r="C40" s="366">
        <f t="shared" ref="C40:H40" si="4">SUM(C10:C36)</f>
        <v>6</v>
      </c>
      <c r="D40" s="366">
        <f t="shared" si="4"/>
        <v>12</v>
      </c>
      <c r="E40" s="366">
        <f t="shared" si="4"/>
        <v>324</v>
      </c>
      <c r="F40" s="367">
        <f t="shared" si="4"/>
        <v>389</v>
      </c>
      <c r="G40" s="369">
        <f t="shared" si="4"/>
        <v>20</v>
      </c>
      <c r="H40" s="367">
        <f t="shared" si="4"/>
        <v>409</v>
      </c>
    </row>
    <row r="41" spans="1:313">
      <c r="A41" s="149"/>
      <c r="B41" s="592"/>
      <c r="C41" s="592"/>
      <c r="D41" s="592"/>
      <c r="E41" s="592"/>
      <c r="F41" s="592"/>
      <c r="G41" s="592"/>
      <c r="H41" s="593"/>
    </row>
    <row r="42" spans="1:313">
      <c r="A42" s="33" t="s">
        <v>376</v>
      </c>
      <c r="B42" s="12"/>
      <c r="C42" s="12"/>
      <c r="D42" s="12"/>
      <c r="E42" s="12"/>
      <c r="F42" s="12"/>
      <c r="G42" s="117"/>
      <c r="H42" s="605"/>
    </row>
    <row r="43" spans="1:313">
      <c r="A43" s="33"/>
      <c r="B43" s="576" t="s">
        <v>482</v>
      </c>
      <c r="C43" s="12"/>
      <c r="D43" s="12"/>
      <c r="E43" s="12"/>
      <c r="F43" s="12"/>
      <c r="G43" s="117"/>
      <c r="H43" s="605"/>
    </row>
    <row r="44" spans="1:313" ht="13.5" thickBot="1">
      <c r="A44" s="94"/>
      <c r="B44" s="597" t="s">
        <v>375</v>
      </c>
      <c r="C44" s="32"/>
      <c r="D44" s="32"/>
      <c r="E44" s="32"/>
      <c r="F44" s="32"/>
      <c r="G44" s="594"/>
      <c r="H44" s="595"/>
    </row>
    <row r="45" spans="1:313">
      <c r="A45" s="148"/>
      <c r="B45" s="117"/>
      <c r="C45" s="117"/>
      <c r="D45" s="117"/>
      <c r="E45" s="117"/>
      <c r="F45" s="117"/>
      <c r="G45" s="117"/>
      <c r="H45" s="117"/>
    </row>
    <row r="46" spans="1:313">
      <c r="A46" s="340" t="s">
        <v>102</v>
      </c>
      <c r="B46" s="18">
        <f>SUM(B39:B40)-B38</f>
        <v>0</v>
      </c>
      <c r="C46" s="18"/>
      <c r="D46" s="18">
        <f>SUM(D39:D40)-D38</f>
        <v>0</v>
      </c>
      <c r="E46" s="18">
        <f>SUM(E39:E40)-E38</f>
        <v>0</v>
      </c>
      <c r="F46" s="18">
        <f>SUM(F39:F40)-F38</f>
        <v>0</v>
      </c>
      <c r="G46" s="18">
        <f>SUM(G39:G40)-G38</f>
        <v>0</v>
      </c>
      <c r="H46" s="18">
        <f>SUM(H39:H40)-H38</f>
        <v>0</v>
      </c>
    </row>
    <row r="47" spans="1:313">
      <c r="A47" s="21"/>
      <c r="B47" s="117"/>
      <c r="C47" s="464"/>
      <c r="D47" s="117"/>
      <c r="E47" s="117"/>
      <c r="F47" s="117"/>
      <c r="G47" s="117"/>
      <c r="H47" s="117"/>
    </row>
    <row r="48" spans="1:313">
      <c r="A48" s="21"/>
      <c r="B48" s="117"/>
      <c r="C48" s="117"/>
      <c r="D48" s="117"/>
      <c r="E48" s="117"/>
      <c r="F48" s="117"/>
      <c r="G48" s="117"/>
      <c r="H48" s="117"/>
    </row>
    <row r="49" spans="1:8">
      <c r="A49" s="21"/>
      <c r="B49" s="117"/>
      <c r="C49" s="117"/>
      <c r="D49" s="117"/>
      <c r="E49" s="117"/>
      <c r="F49" s="117"/>
      <c r="G49" s="117"/>
      <c r="H49" s="117"/>
    </row>
    <row r="50" spans="1:8">
      <c r="A50" s="21"/>
      <c r="B50" s="117"/>
      <c r="C50" s="117"/>
      <c r="D50" s="117"/>
      <c r="E50" s="117"/>
      <c r="F50" s="117"/>
      <c r="G50" s="117"/>
      <c r="H50" s="117"/>
    </row>
    <row r="51" spans="1:8">
      <c r="A51" s="21"/>
      <c r="B51" s="117"/>
      <c r="C51" s="117"/>
      <c r="D51" s="117"/>
      <c r="E51" s="117"/>
      <c r="F51" s="117"/>
      <c r="G51" s="117"/>
      <c r="H51" s="117"/>
    </row>
    <row r="52" spans="1:8">
      <c r="A52" s="21"/>
      <c r="B52" s="117"/>
      <c r="C52" s="117"/>
      <c r="D52" s="117"/>
      <c r="E52" s="117"/>
      <c r="F52" s="117"/>
      <c r="G52" s="117"/>
      <c r="H52" s="117"/>
    </row>
    <row r="53" spans="1:8">
      <c r="A53" s="21"/>
      <c r="B53" s="117"/>
      <c r="C53" s="117"/>
      <c r="D53" s="117"/>
      <c r="E53" s="117"/>
      <c r="F53" s="117"/>
      <c r="G53" s="117"/>
      <c r="H53" s="117"/>
    </row>
    <row r="54" spans="1:8">
      <c r="A54" s="21"/>
    </row>
    <row r="55" spans="1:8">
      <c r="A55" s="21"/>
    </row>
    <row r="56" spans="1:8">
      <c r="A56" s="21"/>
    </row>
    <row r="57" spans="1:8">
      <c r="A57" s="21"/>
    </row>
    <row r="58" spans="1:8">
      <c r="A58" s="21"/>
    </row>
    <row r="59" spans="1:8">
      <c r="A59" s="21"/>
    </row>
    <row r="60" spans="1:8">
      <c r="A60" s="21"/>
    </row>
    <row r="61" spans="1:8">
      <c r="A61" s="21"/>
    </row>
    <row r="62" spans="1:8">
      <c r="A62" s="21"/>
    </row>
    <row r="63" spans="1:8">
      <c r="A63" s="21"/>
    </row>
    <row r="64" spans="1:8">
      <c r="A64" s="21"/>
    </row>
    <row r="65" spans="1:1">
      <c r="A65" s="21"/>
    </row>
    <row r="66" spans="1:1">
      <c r="A66" s="21"/>
    </row>
    <row r="67" spans="1:1">
      <c r="A67" s="21"/>
    </row>
    <row r="68" spans="1:1">
      <c r="A68" s="21"/>
    </row>
    <row r="69" spans="1:1">
      <c r="A69" s="21"/>
    </row>
    <row r="70" spans="1:1">
      <c r="A70" s="21"/>
    </row>
    <row r="71" spans="1:1">
      <c r="A71" s="21"/>
    </row>
    <row r="72" spans="1:1">
      <c r="A72" s="21"/>
    </row>
    <row r="73" spans="1:1">
      <c r="A73" s="21"/>
    </row>
  </sheetData>
  <mergeCells count="2">
    <mergeCell ref="A1:H1"/>
    <mergeCell ref="B2:F2"/>
  </mergeCells>
  <phoneticPr fontId="0" type="noConversion"/>
  <printOptions horizontalCentered="1"/>
  <pageMargins left="0.75" right="0.75" top="1" bottom="1" header="0.5" footer="0.5"/>
  <pageSetup scale="75" orientation="portrait" r:id="rId1"/>
  <headerFooter alignWithMargins="0">
    <oddFooter>&amp;L&amp;F
&amp;A&amp;R&amp;P of &amp;N</oddFooter>
  </headerFooter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sheetPr codeName="Sheet56">
    <tabColor rgb="FF0070C0"/>
  </sheetPr>
  <dimension ref="A1:AC62"/>
  <sheetViews>
    <sheetView topLeftCell="A6" zoomScaleNormal="100" workbookViewId="0">
      <selection activeCell="D16" sqref="D16"/>
    </sheetView>
  </sheetViews>
  <sheetFormatPr defaultRowHeight="12.75"/>
  <cols>
    <col min="1" max="1" width="32.7109375" customWidth="1"/>
    <col min="2" max="2" width="12.85546875" bestFit="1" customWidth="1"/>
    <col min="3" max="4" width="8.7109375" bestFit="1" customWidth="1"/>
    <col min="5" max="5" width="11.7109375" customWidth="1"/>
    <col min="6" max="6" width="12.85546875" bestFit="1" customWidth="1"/>
    <col min="7" max="8" width="11.5703125" customWidth="1"/>
    <col min="9" max="9" width="11.42578125" customWidth="1"/>
    <col min="10" max="10" width="12.85546875" bestFit="1" customWidth="1"/>
    <col min="11" max="12" width="10.140625" customWidth="1"/>
    <col min="13" max="13" width="11.7109375" customWidth="1"/>
    <col min="14" max="14" width="12.85546875" bestFit="1" customWidth="1"/>
    <col min="15" max="16" width="11.28515625" bestFit="1" customWidth="1"/>
    <col min="17" max="21" width="12.5703125" customWidth="1"/>
    <col min="22" max="22" width="12.85546875" bestFit="1" customWidth="1"/>
    <col min="23" max="24" width="11.42578125" customWidth="1"/>
    <col min="25" max="25" width="13" customWidth="1"/>
    <col min="26" max="26" width="12.85546875" bestFit="1" customWidth="1"/>
    <col min="27" max="28" width="11.28515625" bestFit="1" customWidth="1"/>
    <col min="29" max="29" width="10.28515625" bestFit="1" customWidth="1"/>
  </cols>
  <sheetData>
    <row r="1" spans="1:29" ht="18.75" thickBot="1">
      <c r="A1" s="841" t="s">
        <v>186</v>
      </c>
      <c r="B1" s="841"/>
      <c r="C1" s="841"/>
      <c r="D1" s="841"/>
      <c r="E1" s="841"/>
      <c r="F1" s="841"/>
      <c r="G1" s="841"/>
      <c r="H1" s="841"/>
      <c r="I1" s="841"/>
      <c r="J1" s="841"/>
      <c r="K1" s="841"/>
      <c r="L1" s="841"/>
      <c r="M1" s="841"/>
      <c r="N1" s="841"/>
      <c r="O1" s="841"/>
      <c r="P1" s="841"/>
      <c r="Q1" s="841"/>
      <c r="R1" s="841"/>
      <c r="S1" s="841"/>
      <c r="T1" s="841"/>
      <c r="U1" s="841"/>
      <c r="V1" s="841"/>
      <c r="W1" s="841"/>
      <c r="X1" s="841"/>
      <c r="Y1" s="841"/>
    </row>
    <row r="2" spans="1:29" ht="13.5" thickBot="1">
      <c r="A2" s="295"/>
      <c r="B2" s="834" t="s">
        <v>132</v>
      </c>
      <c r="C2" s="835"/>
      <c r="D2" s="835"/>
      <c r="E2" s="835"/>
      <c r="F2" s="835"/>
      <c r="G2" s="835"/>
      <c r="H2" s="835"/>
      <c r="I2" s="835"/>
      <c r="J2" s="835"/>
      <c r="K2" s="835"/>
      <c r="L2" s="835"/>
      <c r="M2" s="835"/>
      <c r="N2" s="835"/>
      <c r="O2" s="835"/>
      <c r="P2" s="835"/>
      <c r="Q2" s="835"/>
      <c r="R2" s="835"/>
      <c r="S2" s="835"/>
      <c r="T2" s="835"/>
      <c r="U2" s="837"/>
      <c r="V2" s="834" t="s">
        <v>133</v>
      </c>
      <c r="W2" s="835"/>
      <c r="X2" s="835"/>
      <c r="Y2" s="837"/>
      <c r="Z2" s="834" t="s">
        <v>257</v>
      </c>
      <c r="AA2" s="835"/>
      <c r="AB2" s="835"/>
      <c r="AC2" s="837"/>
    </row>
    <row r="3" spans="1:29">
      <c r="A3" s="68"/>
      <c r="B3" s="842" t="s">
        <v>127</v>
      </c>
      <c r="C3" s="843"/>
      <c r="D3" s="843"/>
      <c r="E3" s="844"/>
      <c r="F3" s="842" t="s">
        <v>114</v>
      </c>
      <c r="G3" s="843"/>
      <c r="H3" s="843"/>
      <c r="I3" s="844"/>
      <c r="J3" s="843" t="s">
        <v>33</v>
      </c>
      <c r="K3" s="843"/>
      <c r="L3" s="843"/>
      <c r="M3" s="844"/>
      <c r="N3" s="836" t="s">
        <v>34</v>
      </c>
      <c r="O3" s="843"/>
      <c r="P3" s="843"/>
      <c r="Q3" s="844"/>
      <c r="R3" s="836" t="s">
        <v>138</v>
      </c>
      <c r="S3" s="843"/>
      <c r="T3" s="843"/>
      <c r="U3" s="844"/>
      <c r="V3" s="847"/>
      <c r="W3" s="847"/>
      <c r="X3" s="847"/>
      <c r="Y3" s="848"/>
      <c r="Z3" s="846"/>
      <c r="AA3" s="847"/>
      <c r="AB3" s="847"/>
      <c r="AC3" s="848"/>
    </row>
    <row r="4" spans="1:29" ht="13.5" thickBot="1">
      <c r="A4" s="296" t="s">
        <v>4</v>
      </c>
      <c r="B4" s="296" t="s">
        <v>36</v>
      </c>
      <c r="C4" s="297" t="s">
        <v>37</v>
      </c>
      <c r="D4" s="297" t="s">
        <v>38</v>
      </c>
      <c r="E4" s="298" t="s">
        <v>41</v>
      </c>
      <c r="F4" s="296" t="s">
        <v>36</v>
      </c>
      <c r="G4" s="297" t="s">
        <v>37</v>
      </c>
      <c r="H4" s="297" t="s">
        <v>38</v>
      </c>
      <c r="I4" s="298" t="s">
        <v>41</v>
      </c>
      <c r="J4" s="297" t="s">
        <v>36</v>
      </c>
      <c r="K4" s="297" t="s">
        <v>37</v>
      </c>
      <c r="L4" s="297" t="s">
        <v>38</v>
      </c>
      <c r="M4" s="298" t="s">
        <v>41</v>
      </c>
      <c r="N4" s="296" t="s">
        <v>36</v>
      </c>
      <c r="O4" s="297" t="s">
        <v>37</v>
      </c>
      <c r="P4" s="297" t="s">
        <v>38</v>
      </c>
      <c r="Q4" s="298" t="s">
        <v>41</v>
      </c>
      <c r="R4" s="302" t="s">
        <v>36</v>
      </c>
      <c r="S4" s="303" t="s">
        <v>37</v>
      </c>
      <c r="T4" s="303" t="s">
        <v>38</v>
      </c>
      <c r="U4" s="304" t="s">
        <v>41</v>
      </c>
      <c r="V4" s="303" t="s">
        <v>36</v>
      </c>
      <c r="W4" s="297" t="s">
        <v>37</v>
      </c>
      <c r="X4" s="297" t="s">
        <v>38</v>
      </c>
      <c r="Y4" s="298" t="s">
        <v>41</v>
      </c>
      <c r="Z4" s="296" t="s">
        <v>36</v>
      </c>
      <c r="AA4" s="297" t="s">
        <v>37</v>
      </c>
      <c r="AB4" s="297" t="s">
        <v>38</v>
      </c>
      <c r="AC4" s="298" t="s">
        <v>41</v>
      </c>
    </row>
    <row r="5" spans="1:29">
      <c r="A5" s="5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6" t="s">
        <v>42</v>
      </c>
      <c r="K5" s="6" t="s">
        <v>42</v>
      </c>
      <c r="L5" s="6" t="s">
        <v>42</v>
      </c>
      <c r="M5" s="7" t="s">
        <v>43</v>
      </c>
      <c r="N5" s="5" t="s">
        <v>42</v>
      </c>
      <c r="O5" s="6" t="s">
        <v>42</v>
      </c>
      <c r="P5" s="6" t="s">
        <v>42</v>
      </c>
      <c r="Q5" s="7" t="s">
        <v>43</v>
      </c>
      <c r="R5" s="5" t="s">
        <v>42</v>
      </c>
      <c r="S5" s="6" t="s">
        <v>42</v>
      </c>
      <c r="T5" s="6" t="s">
        <v>42</v>
      </c>
      <c r="U5" s="7" t="s">
        <v>43</v>
      </c>
      <c r="V5" s="6" t="s">
        <v>42</v>
      </c>
      <c r="W5" s="6" t="s">
        <v>42</v>
      </c>
      <c r="X5" s="6" t="s">
        <v>42</v>
      </c>
      <c r="Y5" s="7" t="s">
        <v>43</v>
      </c>
      <c r="Z5" s="5" t="s">
        <v>42</v>
      </c>
      <c r="AA5" s="6" t="s">
        <v>42</v>
      </c>
      <c r="AB5" s="6" t="s">
        <v>42</v>
      </c>
      <c r="AC5" s="7" t="s">
        <v>43</v>
      </c>
    </row>
    <row r="6" spans="1:29">
      <c r="A6" s="10"/>
      <c r="B6" s="132"/>
      <c r="C6" s="8"/>
      <c r="D6" s="8"/>
      <c r="E6" s="9"/>
      <c r="F6" s="132"/>
      <c r="G6" s="8"/>
      <c r="H6" s="8"/>
      <c r="I6" s="9"/>
      <c r="J6" s="8"/>
      <c r="K6" s="8"/>
      <c r="L6" s="8"/>
      <c r="M6" s="9"/>
      <c r="N6" s="132"/>
      <c r="O6" s="8"/>
      <c r="P6" s="8"/>
      <c r="Q6" s="9"/>
      <c r="R6" s="132"/>
      <c r="S6" s="8"/>
      <c r="T6" s="8"/>
      <c r="U6" s="9"/>
      <c r="V6" s="8"/>
      <c r="W6" s="8"/>
      <c r="X6" s="8"/>
      <c r="Y6" s="9"/>
      <c r="Z6" s="8"/>
      <c r="AA6" s="8"/>
      <c r="AB6" s="8"/>
      <c r="AC6" s="9"/>
    </row>
    <row r="7" spans="1:29">
      <c r="A7" s="153" t="s">
        <v>5</v>
      </c>
      <c r="B7" s="137">
        <f>'Sch PA-T-1 Cust Fcst'!$B6*'Non-Residential TSM UC Adj'!B7</f>
        <v>1164.1219422621439</v>
      </c>
      <c r="C7" s="23">
        <f>'Sch PA-T-1 Cust Fcst'!$B6*'Non-Residential TSM UC Adj'!C7</f>
        <v>448.66848781064141</v>
      </c>
      <c r="D7" s="23">
        <f>'Sch PA-T-1 Cust Fcst'!$B6*'Non-Residential TSM UC Adj'!D7</f>
        <v>937.1989262415035</v>
      </c>
      <c r="E7" s="45">
        <f>IF(SUM(B7:D7)=0,0,SUM(B7:D7)/'Sch PA-T-1 Cust Fcst'!B6)</f>
        <v>637.49733907857217</v>
      </c>
      <c r="F7" s="137">
        <f>'Sch PA-T-1 Cust Fcst'!$C6*'Non-Residential TSM UC Adj'!F7</f>
        <v>672.2728853521437</v>
      </c>
      <c r="G7" s="23">
        <f>'Sch PA-T-1 Cust Fcst'!$C6*'Non-Residential TSM UC Adj'!G7</f>
        <v>1219.6406502013074</v>
      </c>
      <c r="H7" s="23">
        <f>'Sch PA-T-1 Cust Fcst'!$C6*'Non-Residential TSM UC Adj'!H7</f>
        <v>603.52699792028352</v>
      </c>
      <c r="I7" s="45">
        <f>IF(SUM(F7:H7)=0,0,SUM(F7:H7)/'Sch PA-T-1 Cust Fcst'!C6)</f>
        <v>1247.7202667368674</v>
      </c>
      <c r="J7" s="137">
        <f>'Sch PA-T-1 Cust Fcst'!$D6*'Non-Residential TSM UC Adj'!J7</f>
        <v>0</v>
      </c>
      <c r="K7" s="23">
        <f>'Sch PA-T-1 Cust Fcst'!$D6*'Non-Residential TSM UC Adj'!K7</f>
        <v>0</v>
      </c>
      <c r="L7" s="23">
        <f>'Sch PA-T-1 Cust Fcst'!$D6*'Non-Residential TSM UC Adj'!L7</f>
        <v>0</v>
      </c>
      <c r="M7" s="45">
        <f>IF(SUM(J7:L7)=0,0,SUM(J7:L7)/'Sch PA-T-1 Cust Fcst'!D6)</f>
        <v>0</v>
      </c>
      <c r="N7" s="137">
        <f>'Sch PA-T-1 Cust Fcst'!$E6*'Non-Residential TSM UC Adj'!N7</f>
        <v>4586.0530957558849</v>
      </c>
      <c r="O7" s="23">
        <f>'Sch PA-T-1 Cust Fcst'!$E6*'Non-Residential TSM UC Adj'!O7</f>
        <v>6708.0235761071908</v>
      </c>
      <c r="P7" s="23">
        <f>'Sch PA-T-1 Cust Fcst'!$E6*'Non-Residential TSM UC Adj'!P7</f>
        <v>3319.3984885615591</v>
      </c>
      <c r="Q7" s="45">
        <f>IF(SUM(N7:P7)=0,0,SUM(N7:P7)/'Sch PA-T-1 Cust Fcst'!E6)</f>
        <v>1328.4977418567851</v>
      </c>
      <c r="R7" s="137">
        <f>B7+F7+J7+N7</f>
        <v>6422.4479233701722</v>
      </c>
      <c r="S7" s="23">
        <f>C7+G7+K7+O7</f>
        <v>8376.3327141191403</v>
      </c>
      <c r="T7" s="23">
        <f>D7+H7+L7+P7</f>
        <v>4860.1244127233458</v>
      </c>
      <c r="U7" s="45">
        <f>IF(SUM(R7:T7)=0,0,SUM(R7:T7)/'Sch PA-T-1 Cust Fcst'!F6)</f>
        <v>1156.4061794242739</v>
      </c>
      <c r="V7" s="37">
        <f>'Sch PA-T-1 Cust Fcst'!$G6*'Non-Residential TSM UC Adj'!R7</f>
        <v>0</v>
      </c>
      <c r="W7" s="23">
        <f>'Sch PA-T-1 Cust Fcst'!$G6*'Non-Residential TSM UC Adj'!S7</f>
        <v>3129.9273129422195</v>
      </c>
      <c r="X7" s="23">
        <f>'Sch PA-T-1 Cust Fcst'!$G6*'Non-Residential TSM UC Adj'!T7</f>
        <v>865.67585029149416</v>
      </c>
      <c r="Y7" s="45">
        <f>IF(SUM(V7:X7)=0,0,SUM(V7:X7)/'Sch PA-T-1 Cust Fcst'!G6)</f>
        <v>3995.6031632337135</v>
      </c>
      <c r="Z7" s="23">
        <f>R7+V7</f>
        <v>6422.4479233701722</v>
      </c>
      <c r="AA7" s="23">
        <f>S7+W7</f>
        <v>11506.26002706136</v>
      </c>
      <c r="AB7" s="23">
        <f>T7+X7</f>
        <v>5725.8002630148403</v>
      </c>
      <c r="AC7" s="45">
        <f>IF(SUM(Z7:AB7)=0,0,SUM(Z7:AB7)/'Sch PA-T-1 Cust Fcst'!H6)</f>
        <v>1314.1393451914653</v>
      </c>
    </row>
    <row r="8" spans="1:29">
      <c r="A8" s="154" t="s">
        <v>6</v>
      </c>
      <c r="B8" s="137">
        <f>'Sch PA-T-1 Cust Fcst'!$B7*'Non-Residential TSM UC Adj'!B8</f>
        <v>3492.3658267864316</v>
      </c>
      <c r="C8" s="23">
        <f>'Sch PA-T-1 Cust Fcst'!$B7*'Non-Residential TSM UC Adj'!C8</f>
        <v>448.66848781064141</v>
      </c>
      <c r="D8" s="23">
        <f>'Sch PA-T-1 Cust Fcst'!$B7*'Non-Residential TSM UC Adj'!D8</f>
        <v>937.1989262415035</v>
      </c>
      <c r="E8" s="45">
        <f>IF(SUM(B8:D8)=0,0,SUM(B8:D8)/'Sch PA-T-1 Cust Fcst'!B7)</f>
        <v>1219.5583102096441</v>
      </c>
      <c r="F8" s="137">
        <f>'Sch PA-T-1 Cust Fcst'!$C7*'Non-Residential TSM UC Adj'!F8</f>
        <v>1008.4093280282156</v>
      </c>
      <c r="G8" s="23">
        <f>'Sch PA-T-1 Cust Fcst'!$C7*'Non-Residential TSM UC Adj'!G8</f>
        <v>609.82032510065369</v>
      </c>
      <c r="H8" s="23">
        <f>'Sch PA-T-1 Cust Fcst'!$C7*'Non-Residential TSM UC Adj'!H8</f>
        <v>301.76349896014176</v>
      </c>
      <c r="I8" s="45">
        <f>IF(SUM(F8:H8)=0,0,SUM(F8:H8)/'Sch PA-T-1 Cust Fcst'!C7)</f>
        <v>1919.9931520890111</v>
      </c>
      <c r="J8" s="137">
        <f>'Sch PA-T-1 Cust Fcst'!$D7*'Non-Residential TSM UC Adj'!J8</f>
        <v>2120.6135542240022</v>
      </c>
      <c r="K8" s="23">
        <f>'Sch PA-T-1 Cust Fcst'!$D7*'Non-Residential TSM UC Adj'!K8</f>
        <v>1219.6406502013074</v>
      </c>
      <c r="L8" s="23">
        <f>'Sch PA-T-1 Cust Fcst'!$D7*'Non-Residential TSM UC Adj'!L8</f>
        <v>603.52699792028352</v>
      </c>
      <c r="M8" s="45">
        <f>IF(SUM(J8:L8)=0,0,SUM(J8:L8)/'Sch PA-T-1 Cust Fcst'!D7)</f>
        <v>1971.8906011727966</v>
      </c>
      <c r="N8" s="137">
        <f>'Sch PA-T-1 Cust Fcst'!$E7*'Non-Residential TSM UC Adj'!N8</f>
        <v>1250.7417533879686</v>
      </c>
      <c r="O8" s="23">
        <f>'Sch PA-T-1 Cust Fcst'!$E7*'Non-Residential TSM UC Adj'!O8</f>
        <v>609.82032510065369</v>
      </c>
      <c r="P8" s="23">
        <f>'Sch PA-T-1 Cust Fcst'!$E7*'Non-Residential TSM UC Adj'!P8</f>
        <v>301.76349896014176</v>
      </c>
      <c r="Q8" s="45">
        <f>IF(SUM(N8:P8)=0,0,SUM(N8:P8)/'Sch PA-T-1 Cust Fcst'!E7)</f>
        <v>2162.3255774487643</v>
      </c>
      <c r="R8" s="137">
        <f t="shared" ref="R8:R37" si="0">B8+F8+J8+N8</f>
        <v>7872.1304624266177</v>
      </c>
      <c r="S8" s="23">
        <f t="shared" ref="S8:S37" si="1">C8+G8+K8+O8</f>
        <v>2887.9497882132564</v>
      </c>
      <c r="T8" s="23">
        <f t="shared" ref="T8:T37" si="2">D8+H8+L8+P8</f>
        <v>2144.2529220820707</v>
      </c>
      <c r="U8" s="45">
        <f>IF(SUM(R8:T8)=0,0,SUM(R8:T8)/'Sch PA-T-1 Cust Fcst'!F7)</f>
        <v>1613.0416465902431</v>
      </c>
      <c r="V8" s="37">
        <f>'Sch PA-T-1 Cust Fcst'!$G7*'Non-Residential TSM UC Adj'!R8</f>
        <v>0</v>
      </c>
      <c r="W8" s="23">
        <f>'Sch PA-T-1 Cust Fcst'!$G7*'Non-Residential TSM UC Adj'!S8</f>
        <v>0</v>
      </c>
      <c r="X8" s="23">
        <f>'Sch PA-T-1 Cust Fcst'!$G7*'Non-Residential TSM UC Adj'!T8</f>
        <v>0</v>
      </c>
      <c r="Y8" s="45">
        <f>IF(SUM(V8:X8)=0,0,SUM(V8:X8)/'Sch PA-T-1 Cust Fcst'!G7)</f>
        <v>0</v>
      </c>
      <c r="Z8" s="23">
        <f t="shared" ref="Z8:Z37" si="3">R8+V8</f>
        <v>7872.1304624266177</v>
      </c>
      <c r="AA8" s="23">
        <f t="shared" ref="AA8:AA37" si="4">S8+W8</f>
        <v>2887.9497882132564</v>
      </c>
      <c r="AB8" s="23">
        <f t="shared" ref="AB8:AB37" si="5">T8+X8</f>
        <v>2144.2529220820707</v>
      </c>
      <c r="AC8" s="45">
        <f>IF(SUM(Z8:AB8)=0,0,SUM(Z8:AB8)/'Sch PA-T-1 Cust Fcst'!H7)</f>
        <v>1613.0416465902431</v>
      </c>
    </row>
    <row r="9" spans="1:29">
      <c r="A9" s="155" t="s">
        <v>7</v>
      </c>
      <c r="B9" s="137">
        <f>'Sch PA-T-1 Cust Fcst'!$B8*'Non-Residential TSM UC Adj'!B9</f>
        <v>13096.371850449119</v>
      </c>
      <c r="C9" s="23">
        <f>'Sch PA-T-1 Cust Fcst'!$B8*'Non-Residential TSM UC Adj'!C9</f>
        <v>2371.5696565717967</v>
      </c>
      <c r="D9" s="23">
        <f>'Sch PA-T-1 Cust Fcst'!$B8*'Non-Residential TSM UC Adj'!D9</f>
        <v>3514.4959734056383</v>
      </c>
      <c r="E9" s="45">
        <f>IF(SUM(B9:D9)=0,0,SUM(B9:D9)/'Sch PA-T-1 Cust Fcst'!B8)</f>
        <v>1265.495832028437</v>
      </c>
      <c r="F9" s="137">
        <f>'Sch PA-T-1 Cust Fcst'!$C8*'Non-Residential TSM UC Adj'!F9</f>
        <v>6050.4559681692936</v>
      </c>
      <c r="G9" s="23">
        <f>'Sch PA-T-1 Cust Fcst'!$C8*'Non-Residential TSM UC Adj'!G9</f>
        <v>2154.8757573435973</v>
      </c>
      <c r="H9" s="23">
        <f>'Sch PA-T-1 Cust Fcst'!$C8*'Non-Residential TSM UC Adj'!H9</f>
        <v>905.29049688042528</v>
      </c>
      <c r="I9" s="45">
        <f>IF(SUM(F9:H9)=0,0,SUM(F9:H9)/'Sch PA-T-1 Cust Fcst'!C8)</f>
        <v>3036.8740741311053</v>
      </c>
      <c r="J9" s="137">
        <f>'Sch PA-T-1 Cust Fcst'!$D8*'Non-Residential TSM UC Adj'!J9</f>
        <v>10603.067771120011</v>
      </c>
      <c r="K9" s="23">
        <f>'Sch PA-T-1 Cust Fcst'!$D8*'Non-Residential TSM UC Adj'!K9</f>
        <v>3591.4595955726622</v>
      </c>
      <c r="L9" s="23">
        <f>'Sch PA-T-1 Cust Fcst'!$D8*'Non-Residential TSM UC Adj'!L9</f>
        <v>1508.8174948007088</v>
      </c>
      <c r="M9" s="45">
        <f>IF(SUM(J9:L9)=0,0,SUM(J9:L9)/'Sch PA-T-1 Cust Fcst'!D8)</f>
        <v>3140.6689722986766</v>
      </c>
      <c r="N9" s="137">
        <f>'Sch PA-T-1 Cust Fcst'!$E8*'Non-Residential TSM UC Adj'!N9</f>
        <v>25014.835067759373</v>
      </c>
      <c r="O9" s="23">
        <f>'Sch PA-T-1 Cust Fcst'!$E8*'Non-Residential TSM UC Adj'!O9</f>
        <v>7182.9191911453245</v>
      </c>
      <c r="P9" s="23">
        <f>'Sch PA-T-1 Cust Fcst'!$E8*'Non-Residential TSM UC Adj'!P9</f>
        <v>3017.6349896014176</v>
      </c>
      <c r="Q9" s="45">
        <f>IF(SUM(N9:P9)=0,0,SUM(N9:P9)/'Sch PA-T-1 Cust Fcst'!E8)</f>
        <v>3521.5389248506117</v>
      </c>
      <c r="R9" s="137">
        <f t="shared" si="0"/>
        <v>54764.730657497799</v>
      </c>
      <c r="S9" s="23">
        <f t="shared" si="1"/>
        <v>15300.824200633382</v>
      </c>
      <c r="T9" s="23">
        <f t="shared" si="2"/>
        <v>8946.2389546881896</v>
      </c>
      <c r="U9" s="45">
        <f>IF(SUM(R9:T9)=0,0,SUM(R9:T9)/'Sch PA-T-1 Cust Fcst'!F8)</f>
        <v>2394.296782206648</v>
      </c>
      <c r="V9" s="37">
        <f>'Sch PA-T-1 Cust Fcst'!$G8*'Non-Residential TSM UC Adj'!R9</f>
        <v>0</v>
      </c>
      <c r="W9" s="23">
        <f>'Sch PA-T-1 Cust Fcst'!$G8*'Non-Residential TSM UC Adj'!S9</f>
        <v>0</v>
      </c>
      <c r="X9" s="23">
        <f>'Sch PA-T-1 Cust Fcst'!$G8*'Non-Residential TSM UC Adj'!T9</f>
        <v>0</v>
      </c>
      <c r="Y9" s="45">
        <f>IF(SUM(V9:X9)=0,0,SUM(V9:X9)/'Sch PA-T-1 Cust Fcst'!G8)</f>
        <v>0</v>
      </c>
      <c r="Z9" s="23">
        <f t="shared" si="3"/>
        <v>54764.730657497799</v>
      </c>
      <c r="AA9" s="23">
        <f t="shared" si="4"/>
        <v>15300.824200633382</v>
      </c>
      <c r="AB9" s="23">
        <f t="shared" si="5"/>
        <v>8946.2389546881896</v>
      </c>
      <c r="AC9" s="45">
        <f>IF(SUM(Z9:AB9)=0,0,SUM(Z9:AB9)/'Sch PA-T-1 Cust Fcst'!H8)</f>
        <v>2394.296782206648</v>
      </c>
    </row>
    <row r="10" spans="1:29">
      <c r="A10" s="155" t="s">
        <v>241</v>
      </c>
      <c r="B10" s="137">
        <f>'Sch PA-T-1 Cust Fcst'!$B9*'Non-Residential TSM UC Adj'!B10</f>
        <v>24010.015059156718</v>
      </c>
      <c r="C10" s="23">
        <f>'Sch PA-T-1 Cust Fcst'!$B9*'Non-Residential TSM UC Adj'!C10</f>
        <v>1901.1228035615482</v>
      </c>
      <c r="D10" s="23">
        <f>'Sch PA-T-1 Cust Fcst'!$B9*'Non-Residential TSM UC Adj'!D10</f>
        <v>2577.2970471641347</v>
      </c>
      <c r="E10" s="45">
        <f>IF(SUM(B10:D10)=0,0,SUM(B10:D10)/'Sch PA-T-1 Cust Fcst'!B9)</f>
        <v>2589.8577190802184</v>
      </c>
      <c r="F10" s="137">
        <f>'Sch PA-T-1 Cust Fcst'!$C9*'Non-Residential TSM UC Adj'!F10</f>
        <v>14117.730592395017</v>
      </c>
      <c r="G10" s="23">
        <f>'Sch PA-T-1 Cust Fcst'!$C9*'Non-Residential TSM UC Adj'!G10</f>
        <v>2154.8757573435973</v>
      </c>
      <c r="H10" s="23">
        <f>'Sch PA-T-1 Cust Fcst'!$C9*'Non-Residential TSM UC Adj'!H10</f>
        <v>905.29049688042528</v>
      </c>
      <c r="I10" s="45">
        <f>IF(SUM(F10:H10)=0,0,SUM(F10:H10)/'Sch PA-T-1 Cust Fcst'!C9)</f>
        <v>5725.9656155396806</v>
      </c>
      <c r="J10" s="137">
        <f>'Sch PA-T-1 Cust Fcst'!$D9*'Non-Residential TSM UC Adj'!J10</f>
        <v>9896.1965863786772</v>
      </c>
      <c r="K10" s="23">
        <f>'Sch PA-T-1 Cust Fcst'!$D9*'Non-Residential TSM UC Adj'!K10</f>
        <v>1436.5838382290649</v>
      </c>
      <c r="L10" s="23">
        <f>'Sch PA-T-1 Cust Fcst'!$D9*'Non-Residential TSM UC Adj'!L10</f>
        <v>603.52699792028352</v>
      </c>
      <c r="M10" s="45">
        <f>IF(SUM(J10:L10)=0,0,SUM(J10:L10)/'Sch PA-T-1 Cust Fcst'!D9)</f>
        <v>5968.1537112640135</v>
      </c>
      <c r="N10" s="137">
        <f>'Sch PA-T-1 Cust Fcst'!$E9*'Non-Residential TSM UC Adj'!N10</f>
        <v>40857.563944006979</v>
      </c>
      <c r="O10" s="23">
        <f>'Sch PA-T-1 Cust Fcst'!$E9*'Non-Residential TSM UC Adj'!O10</f>
        <v>5028.0434338017276</v>
      </c>
      <c r="P10" s="23">
        <f>'Sch PA-T-1 Cust Fcst'!$E9*'Non-Residential TSM UC Adj'!P10</f>
        <v>2112.3444927209921</v>
      </c>
      <c r="Q10" s="45">
        <f>IF(SUM(N10:P10)=0,0,SUM(N10:P10)/'Sch PA-T-1 Cust Fcst'!E9)</f>
        <v>6856.8502672185286</v>
      </c>
      <c r="R10" s="137">
        <f t="shared" si="0"/>
        <v>88881.50618193738</v>
      </c>
      <c r="S10" s="23">
        <f t="shared" si="1"/>
        <v>10520.625832935937</v>
      </c>
      <c r="T10" s="23">
        <f t="shared" si="2"/>
        <v>6198.4590346858349</v>
      </c>
      <c r="U10" s="45">
        <f>IF(SUM(R10:T10)=0,0,SUM(R10:T10)/'Sch PA-T-1 Cust Fcst'!F9)</f>
        <v>4591.3300456330062</v>
      </c>
      <c r="V10" s="37">
        <f>'Sch PA-T-1 Cust Fcst'!$G9*'Non-Residential TSM UC Adj'!R10</f>
        <v>0</v>
      </c>
      <c r="W10" s="23">
        <f>'Sch PA-T-1 Cust Fcst'!$G9*'Non-Residential TSM UC Adj'!S10</f>
        <v>0</v>
      </c>
      <c r="X10" s="23">
        <f>'Sch PA-T-1 Cust Fcst'!$G9*'Non-Residential TSM UC Adj'!T10</f>
        <v>0</v>
      </c>
      <c r="Y10" s="45">
        <f>IF(SUM(V10:X10)=0,0,SUM(V10:X10)/'Sch PA-T-1 Cust Fcst'!G9)</f>
        <v>0</v>
      </c>
      <c r="Z10" s="23">
        <f t="shared" si="3"/>
        <v>88881.50618193738</v>
      </c>
      <c r="AA10" s="23">
        <f t="shared" si="4"/>
        <v>10520.625832935937</v>
      </c>
      <c r="AB10" s="23">
        <f t="shared" si="5"/>
        <v>6198.4590346858349</v>
      </c>
      <c r="AC10" s="45">
        <f>IF(SUM(Z10:AB10)=0,0,SUM(Z10:AB10)/'Sch PA-T-1 Cust Fcst'!H9)</f>
        <v>4591.3300456330062</v>
      </c>
    </row>
    <row r="11" spans="1:29">
      <c r="A11" s="155" t="s">
        <v>242</v>
      </c>
      <c r="B11" s="137">
        <f>'Sch PA-T-1 Cust Fcst'!$B10*'Non-Residential TSM UC Adj'!B11</f>
        <v>13096.371850449119</v>
      </c>
      <c r="C11" s="23">
        <f>'Sch PA-T-1 Cust Fcst'!$B10*'Non-Residential TSM UC Adj'!C11</f>
        <v>1036.9760746699353</v>
      </c>
      <c r="D11" s="23">
        <f>'Sch PA-T-1 Cust Fcst'!$B10*'Non-Residential TSM UC Adj'!D11</f>
        <v>1405.7983893622552</v>
      </c>
      <c r="E11" s="45">
        <f>IF(SUM(B11:D11)=0,0,SUM(B11:D11)/'Sch PA-T-1 Cust Fcst'!B10)</f>
        <v>2589.8577190802184</v>
      </c>
      <c r="F11" s="137">
        <f>'Sch PA-T-1 Cust Fcst'!$C10*'Non-Residential TSM UC Adj'!F11</f>
        <v>4705.9101974650057</v>
      </c>
      <c r="G11" s="23">
        <f>'Sch PA-T-1 Cust Fcst'!$C10*'Non-Residential TSM UC Adj'!G11</f>
        <v>718.29191911453245</v>
      </c>
      <c r="H11" s="23">
        <f>'Sch PA-T-1 Cust Fcst'!$C10*'Non-Residential TSM UC Adj'!H11</f>
        <v>301.76349896014176</v>
      </c>
      <c r="I11" s="45">
        <f>IF(SUM(F11:H11)=0,0,SUM(F11:H11)/'Sch PA-T-1 Cust Fcst'!C10)</f>
        <v>5725.9656155396797</v>
      </c>
      <c r="J11" s="137">
        <f>'Sch PA-T-1 Cust Fcst'!$D10*'Non-Residential TSM UC Adj'!J11</f>
        <v>4948.0982931893386</v>
      </c>
      <c r="K11" s="23">
        <f>'Sch PA-T-1 Cust Fcst'!$D10*'Non-Residential TSM UC Adj'!K11</f>
        <v>718.29191911453245</v>
      </c>
      <c r="L11" s="23">
        <f>'Sch PA-T-1 Cust Fcst'!$D10*'Non-Residential TSM UC Adj'!L11</f>
        <v>301.76349896014176</v>
      </c>
      <c r="M11" s="45">
        <f>IF(SUM(J11:L11)=0,0,SUM(J11:L11)/'Sch PA-T-1 Cust Fcst'!D10)</f>
        <v>5968.1537112640135</v>
      </c>
      <c r="N11" s="137">
        <f>'Sch PA-T-1 Cust Fcst'!$E10*'Non-Residential TSM UC Adj'!N11</f>
        <v>87551.922737157802</v>
      </c>
      <c r="O11" s="23">
        <f>'Sch PA-T-1 Cust Fcst'!$E10*'Non-Residential TSM UC Adj'!O11</f>
        <v>10774.378786717987</v>
      </c>
      <c r="P11" s="23">
        <f>'Sch PA-T-1 Cust Fcst'!$E10*'Non-Residential TSM UC Adj'!P11</f>
        <v>4526.4524844021262</v>
      </c>
      <c r="Q11" s="45">
        <f>IF(SUM(N11:P11)=0,0,SUM(N11:P11)/'Sch PA-T-1 Cust Fcst'!E10)</f>
        <v>6856.8502672185277</v>
      </c>
      <c r="R11" s="137">
        <f t="shared" si="0"/>
        <v>110302.30307826126</v>
      </c>
      <c r="S11" s="23">
        <f t="shared" si="1"/>
        <v>13247.938699616987</v>
      </c>
      <c r="T11" s="23">
        <f t="shared" si="2"/>
        <v>6535.7778716846651</v>
      </c>
      <c r="U11" s="45">
        <f>IF(SUM(R11:T11)=0,0,SUM(R11:T11)/'Sch PA-T-1 Cust Fcst'!F10)</f>
        <v>5655.9138978070832</v>
      </c>
      <c r="V11" s="37">
        <f>'Sch PA-T-1 Cust Fcst'!$G10*'Non-Residential TSM UC Adj'!R11</f>
        <v>0</v>
      </c>
      <c r="W11" s="23">
        <f>'Sch PA-T-1 Cust Fcst'!$G10*'Non-Residential TSM UC Adj'!S11</f>
        <v>0</v>
      </c>
      <c r="X11" s="23">
        <f>'Sch PA-T-1 Cust Fcst'!$G10*'Non-Residential TSM UC Adj'!T11</f>
        <v>0</v>
      </c>
      <c r="Y11" s="45">
        <f>IF(SUM(V11:X11)=0,0,SUM(V11:X11)/'Sch PA-T-1 Cust Fcst'!G10)</f>
        <v>0</v>
      </c>
      <c r="Z11" s="23">
        <f t="shared" si="3"/>
        <v>110302.30307826126</v>
      </c>
      <c r="AA11" s="23">
        <f t="shared" si="4"/>
        <v>13247.938699616987</v>
      </c>
      <c r="AB11" s="23">
        <f t="shared" si="5"/>
        <v>6535.7778716846651</v>
      </c>
      <c r="AC11" s="45">
        <f>IF(SUM(Z11:AB11)=0,0,SUM(Z11:AB11)/'Sch PA-T-1 Cust Fcst'!H10)</f>
        <v>5655.9138978070832</v>
      </c>
    </row>
    <row r="12" spans="1:29">
      <c r="A12" s="155" t="s">
        <v>8</v>
      </c>
      <c r="B12" s="137">
        <f>'Sch PA-T-1 Cust Fcst'!$B11*'Non-Residential TSM UC Adj'!B12</f>
        <v>117252.3398180409</v>
      </c>
      <c r="C12" s="23">
        <f>'Sch PA-T-1 Cust Fcst'!$B11*'Non-Residential TSM UC Adj'!C12</f>
        <v>10416.698272351297</v>
      </c>
      <c r="D12" s="23">
        <f>'Sch PA-T-1 Cust Fcst'!$B11*'Non-Residential TSM UC Adj'!D12</f>
        <v>5857.4932890093969</v>
      </c>
      <c r="E12" s="45">
        <f>IF(SUM(B12:D12)=0,0,SUM(B12:D12)/'Sch PA-T-1 Cust Fcst'!B11)</f>
        <v>5341.0612551760642</v>
      </c>
      <c r="F12" s="137">
        <f>'Sch PA-T-1 Cust Fcst'!$C11*'Non-Residential TSM UC Adj'!F12</f>
        <v>28235.461184790034</v>
      </c>
      <c r="G12" s="23">
        <f>'Sch PA-T-1 Cust Fcst'!$C11*'Non-Residential TSM UC Adj'!G12</f>
        <v>1870.4702142845799</v>
      </c>
      <c r="H12" s="23">
        <f>'Sch PA-T-1 Cust Fcst'!$C11*'Non-Residential TSM UC Adj'!H12</f>
        <v>603.52699792028352</v>
      </c>
      <c r="I12" s="45">
        <f>IF(SUM(F12:H12)=0,0,SUM(F12:H12)/'Sch PA-T-1 Cust Fcst'!C11)</f>
        <v>15354.729198497449</v>
      </c>
      <c r="J12" s="137">
        <f>'Sch PA-T-1 Cust Fcst'!$D11*'Non-Residential TSM UC Adj'!J12</f>
        <v>74221.47439784008</v>
      </c>
      <c r="K12" s="23">
        <f>'Sch PA-T-1 Cust Fcst'!$D11*'Non-Residential TSM UC Adj'!K12</f>
        <v>4676.1755357114498</v>
      </c>
      <c r="L12" s="23">
        <f>'Sch PA-T-1 Cust Fcst'!$D11*'Non-Residential TSM UC Adj'!L12</f>
        <v>1508.8174948007088</v>
      </c>
      <c r="M12" s="45">
        <f>IF(SUM(J12:L12)=0,0,SUM(J12:L12)/'Sch PA-T-1 Cust Fcst'!D11)</f>
        <v>16081.293485670447</v>
      </c>
      <c r="N12" s="137">
        <f>'Sch PA-T-1 Cust Fcst'!$E11*'Non-Residential TSM UC Adj'!N12</f>
        <v>321023.71670291194</v>
      </c>
      <c r="O12" s="23">
        <f>'Sch PA-T-1 Cust Fcst'!$E11*'Non-Residential TSM UC Adj'!O12</f>
        <v>51437.930892825949</v>
      </c>
      <c r="P12" s="23">
        <f>'Sch PA-T-1 Cust Fcst'!$E11*'Non-Residential TSM UC Adj'!P12</f>
        <v>16596.992442807797</v>
      </c>
      <c r="Q12" s="45">
        <f>IF(SUM(N12:P12)=0,0,SUM(N12:P12)/'Sch PA-T-1 Cust Fcst'!E11)</f>
        <v>7073.7934552462857</v>
      </c>
      <c r="R12" s="137">
        <f t="shared" si="0"/>
        <v>540732.99210358295</v>
      </c>
      <c r="S12" s="23">
        <f t="shared" si="1"/>
        <v>68401.274915173271</v>
      </c>
      <c r="T12" s="23">
        <f t="shared" si="2"/>
        <v>24566.830224538186</v>
      </c>
      <c r="U12" s="45">
        <f>IF(SUM(R12:T12)=0,0,SUM(R12:T12)/'Sch PA-T-1 Cust Fcst'!F11)</f>
        <v>7283.9206579689017</v>
      </c>
      <c r="V12" s="37">
        <f>'Sch PA-T-1 Cust Fcst'!$G11*'Non-Residential TSM UC Adj'!R12</f>
        <v>0</v>
      </c>
      <c r="W12" s="23">
        <f>'Sch PA-T-1 Cust Fcst'!$G11*'Non-Residential TSM UC Adj'!S12</f>
        <v>0</v>
      </c>
      <c r="X12" s="23">
        <f>'Sch PA-T-1 Cust Fcst'!$G11*'Non-Residential TSM UC Adj'!T12</f>
        <v>0</v>
      </c>
      <c r="Y12" s="45">
        <f>IF(SUM(V12:X12)=0,0,SUM(V12:X12)/'Sch PA-T-1 Cust Fcst'!G11)</f>
        <v>0</v>
      </c>
      <c r="Z12" s="23">
        <f t="shared" si="3"/>
        <v>540732.99210358295</v>
      </c>
      <c r="AA12" s="23">
        <f t="shared" si="4"/>
        <v>68401.274915173271</v>
      </c>
      <c r="AB12" s="23">
        <f t="shared" si="5"/>
        <v>24566.830224538186</v>
      </c>
      <c r="AC12" s="45">
        <f>IF(SUM(Z12:AB12)=0,0,SUM(Z12:AB12)/'Sch PA-T-1 Cust Fcst'!H11)</f>
        <v>7283.9206579689017</v>
      </c>
    </row>
    <row r="13" spans="1:29">
      <c r="A13" s="155" t="s">
        <v>9</v>
      </c>
      <c r="B13" s="137">
        <f>'Sch PA-T-1 Cust Fcst'!$B12*'Non-Residential TSM UC Adj'!B13</f>
        <v>56650.889668748903</v>
      </c>
      <c r="C13" s="23">
        <f>'Sch PA-T-1 Cust Fcst'!$B12*'Non-Residential TSM UC Adj'!C13</f>
        <v>7384.311259600956</v>
      </c>
      <c r="D13" s="23">
        <f>'Sch PA-T-1 Cust Fcst'!$B12*'Non-Residential TSM UC Adj'!D13</f>
        <v>2577.2970471641347</v>
      </c>
      <c r="E13" s="45">
        <f>IF(SUM(B13:D13)=0,0,SUM(B13:D13)/'Sch PA-T-1 Cust Fcst'!B12)</f>
        <v>6055.6816341376361</v>
      </c>
      <c r="F13" s="137">
        <f>'Sch PA-T-1 Cust Fcst'!$C12*'Non-Residential TSM UC Adj'!F13</f>
        <v>42353.191777185049</v>
      </c>
      <c r="G13" s="23">
        <f>'Sch PA-T-1 Cust Fcst'!$C12*'Non-Residential TSM UC Adj'!G13</f>
        <v>4321.6498045209801</v>
      </c>
      <c r="H13" s="23">
        <f>'Sch PA-T-1 Cust Fcst'!$C12*'Non-Residential TSM UC Adj'!H13</f>
        <v>905.29049688042528</v>
      </c>
      <c r="I13" s="45">
        <f>IF(SUM(F13:H13)=0,0,SUM(F13:H13)/'Sch PA-T-1 Cust Fcst'!C12)</f>
        <v>15860.044026195486</v>
      </c>
      <c r="J13" s="137">
        <f>'Sch PA-T-1 Cust Fcst'!$D12*'Non-Residential TSM UC Adj'!J13</f>
        <v>44532.884638704047</v>
      </c>
      <c r="K13" s="23">
        <f>'Sch PA-T-1 Cust Fcst'!$D12*'Non-Residential TSM UC Adj'!K13</f>
        <v>4321.6498045209801</v>
      </c>
      <c r="L13" s="23">
        <f>'Sch PA-T-1 Cust Fcst'!$D12*'Non-Residential TSM UC Adj'!L13</f>
        <v>905.29049688042528</v>
      </c>
      <c r="M13" s="45">
        <f>IF(SUM(J13:L13)=0,0,SUM(J13:L13)/'Sch PA-T-1 Cust Fcst'!D12)</f>
        <v>16586.608313368484</v>
      </c>
      <c r="N13" s="137">
        <f>'Sch PA-T-1 Cust Fcst'!$E12*'Non-Residential TSM UC Adj'!N13</f>
        <v>367718.07549606275</v>
      </c>
      <c r="O13" s="23">
        <f>'Sch PA-T-1 Cust Fcst'!$E12*'Non-Residential TSM UC Adj'!O13</f>
        <v>39279.874499976177</v>
      </c>
      <c r="P13" s="23">
        <f>'Sch PA-T-1 Cust Fcst'!$E12*'Non-Residential TSM UC Adj'!P13</f>
        <v>12674.066956325954</v>
      </c>
      <c r="Q13" s="45">
        <f>IF(SUM(N13:P13)=0,0,SUM(N13:P13)/'Sch PA-T-1 Cust Fcst'!E12)</f>
        <v>9992.1908798182121</v>
      </c>
      <c r="R13" s="137">
        <f t="shared" si="0"/>
        <v>511255.04158070078</v>
      </c>
      <c r="S13" s="23">
        <f t="shared" si="1"/>
        <v>55307.485368619091</v>
      </c>
      <c r="T13" s="23">
        <f t="shared" si="2"/>
        <v>17061.944997250939</v>
      </c>
      <c r="U13" s="45">
        <f>IF(SUM(R13:T13)=0,0,SUM(R13:T13)/'Sch PA-T-1 Cust Fcst'!F12)</f>
        <v>9891.9402024842511</v>
      </c>
      <c r="V13" s="37">
        <f>'Sch PA-T-1 Cust Fcst'!$G12*'Non-Residential TSM UC Adj'!R13</f>
        <v>0</v>
      </c>
      <c r="W13" s="23">
        <f>'Sch PA-T-1 Cust Fcst'!$G12*'Non-Residential TSM UC Adj'!S13</f>
        <v>0</v>
      </c>
      <c r="X13" s="23">
        <f>'Sch PA-T-1 Cust Fcst'!$G12*'Non-Residential TSM UC Adj'!T13</f>
        <v>0</v>
      </c>
      <c r="Y13" s="45">
        <f>IF(SUM(V13:X13)=0,0,SUM(V13:X13)/'Sch PA-T-1 Cust Fcst'!G12)</f>
        <v>0</v>
      </c>
      <c r="Z13" s="23">
        <f t="shared" si="3"/>
        <v>511255.04158070078</v>
      </c>
      <c r="AA13" s="23">
        <f t="shared" si="4"/>
        <v>55307.485368619091</v>
      </c>
      <c r="AB13" s="23">
        <f t="shared" si="5"/>
        <v>17061.944997250939</v>
      </c>
      <c r="AC13" s="45">
        <f>IF(SUM(Z13:AB13)=0,0,SUM(Z13:AB13)/'Sch PA-T-1 Cust Fcst'!H12)</f>
        <v>9891.9402024842511</v>
      </c>
    </row>
    <row r="14" spans="1:29">
      <c r="A14" s="155" t="s">
        <v>10</v>
      </c>
      <c r="B14" s="137">
        <f>'Sch PA-T-1 Cust Fcst'!$B13*'Non-Residential TSM UC Adj'!B14</f>
        <v>24681.032797330743</v>
      </c>
      <c r="C14" s="23">
        <f>'Sch PA-T-1 Cust Fcst'!$B13*'Non-Residential TSM UC Adj'!C14</f>
        <v>6381.8622353315295</v>
      </c>
      <c r="D14" s="23">
        <f>'Sch PA-T-1 Cust Fcst'!$B13*'Non-Residential TSM UC Adj'!D14</f>
        <v>1171.4986578018793</v>
      </c>
      <c r="E14" s="45">
        <f>IF(SUM(B14:D14)=0,0,SUM(B14:D14)/'Sch PA-T-1 Cust Fcst'!B13)</f>
        <v>6446.8787380928306</v>
      </c>
      <c r="F14" s="137">
        <f>'Sch PA-T-1 Cust Fcst'!$C13*'Non-Residential TSM UC Adj'!F14</f>
        <v>0</v>
      </c>
      <c r="G14" s="23">
        <f>'Sch PA-T-1 Cust Fcst'!$C13*'Non-Residential TSM UC Adj'!G14</f>
        <v>0</v>
      </c>
      <c r="H14" s="23">
        <f>'Sch PA-T-1 Cust Fcst'!$C13*'Non-Residential TSM UC Adj'!H14</f>
        <v>0</v>
      </c>
      <c r="I14" s="45">
        <f>IF(SUM(F14:H14)=0,0,SUM(F14:H14)/'Sch PA-T-1 Cust Fcst'!C13)</f>
        <v>0</v>
      </c>
      <c r="J14" s="137">
        <f>'Sch PA-T-1 Cust Fcst'!$D13*'Non-Residential TSM UC Adj'!J14</f>
        <v>8597.5391843563593</v>
      </c>
      <c r="K14" s="23">
        <f>'Sch PA-T-1 Cust Fcst'!$D13*'Non-Residential TSM UC Adj'!K14</f>
        <v>1440.5499348403266</v>
      </c>
      <c r="L14" s="23">
        <f>'Sch PA-T-1 Cust Fcst'!$D13*'Non-Residential TSM UC Adj'!L14</f>
        <v>301.76349896014176</v>
      </c>
      <c r="M14" s="45">
        <f>IF(SUM(J14:L14)=0,0,SUM(J14:L14)/'Sch PA-T-1 Cust Fcst'!D13)</f>
        <v>10339.852618156827</v>
      </c>
      <c r="N14" s="137">
        <f>'Sch PA-T-1 Cust Fcst'!$E13*'Non-Residential TSM UC Adj'!N14</f>
        <v>315186.92185376806</v>
      </c>
      <c r="O14" s="23">
        <f>'Sch PA-T-1 Cust Fcst'!$E13*'Non-Residential TSM UC Adj'!O14</f>
        <v>51859.797654251757</v>
      </c>
      <c r="P14" s="23">
        <f>'Sch PA-T-1 Cust Fcst'!$E13*'Non-Residential TSM UC Adj'!P14</f>
        <v>10863.485962565104</v>
      </c>
      <c r="Q14" s="45">
        <f>IF(SUM(N14:P14)=0,0,SUM(N14:P14)/'Sch PA-T-1 Cust Fcst'!E13)</f>
        <v>10497.505707516248</v>
      </c>
      <c r="R14" s="137">
        <f t="shared" si="0"/>
        <v>348465.49383545516</v>
      </c>
      <c r="S14" s="23">
        <f t="shared" si="1"/>
        <v>59682.209824423611</v>
      </c>
      <c r="T14" s="23">
        <f t="shared" si="2"/>
        <v>12336.748119327125</v>
      </c>
      <c r="U14" s="45">
        <f>IF(SUM(R14:T14)=0,0,SUM(R14:T14)/'Sch PA-T-1 Cust Fcst'!F13)</f>
        <v>10011.534566171569</v>
      </c>
      <c r="V14" s="37">
        <f>'Sch PA-T-1 Cust Fcst'!$G13*'Non-Residential TSM UC Adj'!R14</f>
        <v>0</v>
      </c>
      <c r="W14" s="23">
        <f>'Sch PA-T-1 Cust Fcst'!$G13*'Non-Residential TSM UC Adj'!S14</f>
        <v>0</v>
      </c>
      <c r="X14" s="23">
        <f>'Sch PA-T-1 Cust Fcst'!$G13*'Non-Residential TSM UC Adj'!T14</f>
        <v>0</v>
      </c>
      <c r="Y14" s="45">
        <f>IF(SUM(V14:X14)=0,0,SUM(V14:X14)/'Sch PA-T-1 Cust Fcst'!G13)</f>
        <v>0</v>
      </c>
      <c r="Z14" s="23">
        <f t="shared" si="3"/>
        <v>348465.49383545516</v>
      </c>
      <c r="AA14" s="23">
        <f t="shared" si="4"/>
        <v>59682.209824423611</v>
      </c>
      <c r="AB14" s="23">
        <f t="shared" si="5"/>
        <v>12336.748119327125</v>
      </c>
      <c r="AC14" s="45">
        <f>IF(SUM(Z14:AB14)=0,0,SUM(Z14:AB14)/'Sch PA-T-1 Cust Fcst'!H13)</f>
        <v>10011.534566171569</v>
      </c>
    </row>
    <row r="15" spans="1:29">
      <c r="A15" s="155" t="s">
        <v>11</v>
      </c>
      <c r="B15" s="137">
        <f>'Sch PA-T-1 Cust Fcst'!$B14*'Non-Residential TSM UC Adj'!B15</f>
        <v>0</v>
      </c>
      <c r="C15" s="23">
        <f>'Sch PA-T-1 Cust Fcst'!$B14*'Non-Residential TSM UC Adj'!C15</f>
        <v>0</v>
      </c>
      <c r="D15" s="23">
        <f>'Sch PA-T-1 Cust Fcst'!$B14*'Non-Residential TSM UC Adj'!D15</f>
        <v>0</v>
      </c>
      <c r="E15" s="45">
        <f>IF(SUM(B15:D15)=0,0,SUM(B15:D15)/'Sch PA-T-1 Cust Fcst'!B14)</f>
        <v>0</v>
      </c>
      <c r="F15" s="137">
        <f>'Sch PA-T-1 Cust Fcst'!$C14*'Non-Residential TSM UC Adj'!F15</f>
        <v>0</v>
      </c>
      <c r="G15" s="23">
        <f>'Sch PA-T-1 Cust Fcst'!$C14*'Non-Residential TSM UC Adj'!G15</f>
        <v>0</v>
      </c>
      <c r="H15" s="23">
        <f>'Sch PA-T-1 Cust Fcst'!$C14*'Non-Residential TSM UC Adj'!H15</f>
        <v>0</v>
      </c>
      <c r="I15" s="45">
        <f>IF(SUM(F15:H15)=0,0,SUM(F15:H15)/'Sch PA-T-1 Cust Fcst'!C14)</f>
        <v>0</v>
      </c>
      <c r="J15" s="137">
        <f>'Sch PA-T-1 Cust Fcst'!$D14*'Non-Residential TSM UC Adj'!J15</f>
        <v>17195.078368712719</v>
      </c>
      <c r="K15" s="23">
        <f>'Sch PA-T-1 Cust Fcst'!$D14*'Non-Residential TSM UC Adj'!K15</f>
        <v>2881.0998696806532</v>
      </c>
      <c r="L15" s="23">
        <f>'Sch PA-T-1 Cust Fcst'!$D14*'Non-Residential TSM UC Adj'!L15</f>
        <v>865.67585029149416</v>
      </c>
      <c r="M15" s="45">
        <f>IF(SUM(J15:L15)=0,0,SUM(J15:L15)/'Sch PA-T-1 Cust Fcst'!D14)</f>
        <v>20941.854088684864</v>
      </c>
      <c r="N15" s="137">
        <f>'Sch PA-T-1 Cust Fcst'!$E14*'Non-Residential TSM UC Adj'!N15</f>
        <v>910539.99646644108</v>
      </c>
      <c r="O15" s="23">
        <f>'Sch PA-T-1 Cust Fcst'!$E14*'Non-Residential TSM UC Adj'!O15</f>
        <v>74908.596611696979</v>
      </c>
      <c r="P15" s="23">
        <f>'Sch PA-T-1 Cust Fcst'!$E14*'Non-Residential TSM UC Adj'!P15</f>
        <v>45015.144215157699</v>
      </c>
      <c r="Q15" s="45">
        <f>IF(SUM(N15:P15)=0,0,SUM(N15:P15)/'Sch PA-T-1 Cust Fcst'!E14)</f>
        <v>19816.610332563381</v>
      </c>
      <c r="R15" s="137">
        <f t="shared" si="0"/>
        <v>927735.07483515376</v>
      </c>
      <c r="S15" s="23">
        <f t="shared" si="1"/>
        <v>77789.696481377629</v>
      </c>
      <c r="T15" s="23">
        <f t="shared" si="2"/>
        <v>45880.820065449196</v>
      </c>
      <c r="U15" s="45">
        <f>IF(SUM(R15:T15)=0,0,SUM(R15:T15)/'Sch PA-T-1 Cust Fcst'!F14)</f>
        <v>19837.84134682982</v>
      </c>
      <c r="V15" s="37">
        <f>'Sch PA-T-1 Cust Fcst'!$G14*'Non-Residential TSM UC Adj'!R15</f>
        <v>0</v>
      </c>
      <c r="W15" s="23">
        <f>'Sch PA-T-1 Cust Fcst'!$G14*'Non-Residential TSM UC Adj'!S15</f>
        <v>0</v>
      </c>
      <c r="X15" s="23">
        <f>'Sch PA-T-1 Cust Fcst'!$G14*'Non-Residential TSM UC Adj'!T15</f>
        <v>0</v>
      </c>
      <c r="Y15" s="45">
        <f>IF(SUM(V15:X15)=0,0,SUM(V15:X15)/'Sch PA-T-1 Cust Fcst'!G14)</f>
        <v>0</v>
      </c>
      <c r="Z15" s="23">
        <f t="shared" si="3"/>
        <v>927735.07483515376</v>
      </c>
      <c r="AA15" s="23">
        <f t="shared" si="4"/>
        <v>77789.696481377629</v>
      </c>
      <c r="AB15" s="23">
        <f t="shared" si="5"/>
        <v>45880.820065449196</v>
      </c>
      <c r="AC15" s="45">
        <f>IF(SUM(Z15:AB15)=0,0,SUM(Z15:AB15)/'Sch PA-T-1 Cust Fcst'!H14)</f>
        <v>19837.84134682982</v>
      </c>
    </row>
    <row r="16" spans="1:29">
      <c r="A16" s="155" t="s">
        <v>120</v>
      </c>
      <c r="B16" s="137">
        <f>'Sch PA-T-1 Cust Fcst'!$B15*'Non-Residential TSM UC Adj'!B16</f>
        <v>0</v>
      </c>
      <c r="C16" s="23">
        <f>'Sch PA-T-1 Cust Fcst'!$B15*'Non-Residential TSM UC Adj'!C16</f>
        <v>0</v>
      </c>
      <c r="D16" s="23">
        <f>'Sch PA-T-1 Cust Fcst'!$B15*'Non-Residential TSM UC Adj'!D16</f>
        <v>0</v>
      </c>
      <c r="E16" s="45">
        <f>IF(SUM(B16:D16)=0,0,SUM(B16:D16)/'Sch PA-T-1 Cust Fcst'!B15)</f>
        <v>0</v>
      </c>
      <c r="F16" s="137">
        <f>'Sch PA-T-1 Cust Fcst'!$C15*'Non-Residential TSM UC Adj'!F16</f>
        <v>0</v>
      </c>
      <c r="G16" s="23">
        <f>'Sch PA-T-1 Cust Fcst'!$C15*'Non-Residential TSM UC Adj'!G16</f>
        <v>0</v>
      </c>
      <c r="H16" s="23">
        <f>'Sch PA-T-1 Cust Fcst'!$C15*'Non-Residential TSM UC Adj'!H16</f>
        <v>0</v>
      </c>
      <c r="I16" s="45">
        <f>IF(SUM(F16:H16)=0,0,SUM(F16:H16)/'Sch PA-T-1 Cust Fcst'!C15)</f>
        <v>0</v>
      </c>
      <c r="J16" s="137">
        <f>'Sch PA-T-1 Cust Fcst'!$D15*'Non-Residential TSM UC Adj'!J16</f>
        <v>0</v>
      </c>
      <c r="K16" s="23">
        <f>'Sch PA-T-1 Cust Fcst'!$D15*'Non-Residential TSM UC Adj'!K16</f>
        <v>0</v>
      </c>
      <c r="L16" s="23">
        <f>'Sch PA-T-1 Cust Fcst'!$D15*'Non-Residential TSM UC Adj'!L16</f>
        <v>0</v>
      </c>
      <c r="M16" s="45">
        <f>IF(SUM(J16:L16)=0,0,SUM(J16:L16)/'Sch PA-T-1 Cust Fcst'!D15)</f>
        <v>0</v>
      </c>
      <c r="N16" s="137">
        <f>'Sch PA-T-1 Cust Fcst'!$E15*'Non-Residential TSM UC Adj'!N16</f>
        <v>238459.14002376801</v>
      </c>
      <c r="O16" s="23">
        <f>'Sch PA-T-1 Cust Fcst'!$E15*'Non-Residential TSM UC Adj'!O16</f>
        <v>50457.948007018276</v>
      </c>
      <c r="P16" s="23">
        <f>'Sch PA-T-1 Cust Fcst'!$E15*'Non-Residential TSM UC Adj'!P16</f>
        <v>22507.57210757885</v>
      </c>
      <c r="Q16" s="45">
        <f>IF(SUM(N16:P16)=0,0,SUM(N16:P16)/'Sch PA-T-1 Cust Fcst'!E15)</f>
        <v>11977.871543783274</v>
      </c>
      <c r="R16" s="137">
        <f t="shared" si="0"/>
        <v>238459.14002376801</v>
      </c>
      <c r="S16" s="23">
        <f t="shared" si="1"/>
        <v>50457.948007018276</v>
      </c>
      <c r="T16" s="23">
        <f t="shared" si="2"/>
        <v>22507.57210757885</v>
      </c>
      <c r="U16" s="45">
        <f>IF(SUM(R16:T16)=0,0,SUM(R16:T16)/'Sch PA-T-1 Cust Fcst'!F15)</f>
        <v>11977.871543783274</v>
      </c>
      <c r="V16" s="37">
        <f>'Sch PA-T-1 Cust Fcst'!$G15*'Non-Residential TSM UC Adj'!R16</f>
        <v>0</v>
      </c>
      <c r="W16" s="23">
        <f>'Sch PA-T-1 Cust Fcst'!$G15*'Non-Residential TSM UC Adj'!S16</f>
        <v>0</v>
      </c>
      <c r="X16" s="23">
        <f>'Sch PA-T-1 Cust Fcst'!$G15*'Non-Residential TSM UC Adj'!T16</f>
        <v>0</v>
      </c>
      <c r="Y16" s="45">
        <f>IF(SUM(V16:X16)=0,0,SUM(V16:X16)/'Sch PA-T-1 Cust Fcst'!G15)</f>
        <v>0</v>
      </c>
      <c r="Z16" s="23">
        <f t="shared" si="3"/>
        <v>238459.14002376801</v>
      </c>
      <c r="AA16" s="23">
        <f t="shared" si="4"/>
        <v>50457.948007018276</v>
      </c>
      <c r="AB16" s="23">
        <f t="shared" si="5"/>
        <v>22507.57210757885</v>
      </c>
      <c r="AC16" s="45">
        <f>IF(SUM(Z16:AB16)=0,0,SUM(Z16:AB16)/'Sch PA-T-1 Cust Fcst'!H15)</f>
        <v>11977.871543783274</v>
      </c>
    </row>
    <row r="17" spans="1:29">
      <c r="A17" s="155" t="s">
        <v>121</v>
      </c>
      <c r="B17" s="137">
        <f>'Sch PA-T-1 Cust Fcst'!$B16*'Non-Residential TSM UC Adj'!J17</f>
        <v>0</v>
      </c>
      <c r="C17" s="23">
        <f>'Sch PA-T-1 Cust Fcst'!$B16*'Non-Residential TSM UC Adj'!K17</f>
        <v>0</v>
      </c>
      <c r="D17" s="23">
        <f>'Sch PA-T-1 Cust Fcst'!$B16*'Non-Residential TSM UC Adj'!L17</f>
        <v>0</v>
      </c>
      <c r="E17" s="45">
        <f>IF(SUM(B17:D17)=0,0,SUM(B17:D17)/'Sch PA-T-1 Cust Fcst'!B16)</f>
        <v>0</v>
      </c>
      <c r="F17" s="137">
        <f>'Sch PA-T-1 Cust Fcst'!$C16*'Non-Residential TSM UC Adj'!F17</f>
        <v>0</v>
      </c>
      <c r="G17" s="23">
        <f>'Sch PA-T-1 Cust Fcst'!$C16*'Non-Residential TSM UC Adj'!G17</f>
        <v>0</v>
      </c>
      <c r="H17" s="23">
        <f>'Sch PA-T-1 Cust Fcst'!$C16*'Non-Residential TSM UC Adj'!H17</f>
        <v>0</v>
      </c>
      <c r="I17" s="45">
        <f>IF(SUM(F17:H17)=0,0,SUM(F17:H17)/'Sch PA-T-1 Cust Fcst'!C16)</f>
        <v>0</v>
      </c>
      <c r="J17" s="137">
        <f>'Sch PA-T-1 Cust Fcst'!$D16*'Non-Residential TSM UC Adj'!J17</f>
        <v>9687.5686087994509</v>
      </c>
      <c r="K17" s="23">
        <f>'Sch PA-T-1 Cust Fcst'!$D16*'Non-Residential TSM UC Adj'!K17</f>
        <v>3881.3806159244828</v>
      </c>
      <c r="L17" s="23">
        <f>'Sch PA-T-1 Cust Fcst'!$D16*'Non-Residential TSM UC Adj'!L17</f>
        <v>865.67585029149416</v>
      </c>
      <c r="M17" s="45">
        <f>IF(SUM(J17:L17)=0,0,SUM(J17:L17)/'Sch PA-T-1 Cust Fcst'!D16)</f>
        <v>14434.625075015429</v>
      </c>
      <c r="N17" s="137">
        <f>'Sch PA-T-1 Cust Fcst'!$E16*'Non-Residential TSM UC Adj'!N17</f>
        <v>229287.63463823847</v>
      </c>
      <c r="O17" s="23">
        <f>'Sch PA-T-1 Cust Fcst'!$E16*'Non-Residential TSM UC Adj'!O17</f>
        <v>48517.257699056034</v>
      </c>
      <c r="P17" s="23">
        <f>'Sch PA-T-1 Cust Fcst'!$E16*'Non-Residential TSM UC Adj'!P17</f>
        <v>21641.896257287353</v>
      </c>
      <c r="Q17" s="45">
        <f>IF(SUM(N17:P17)=0,0,SUM(N17:P17)/'Sch PA-T-1 Cust Fcst'!E16)</f>
        <v>11977.871543783276</v>
      </c>
      <c r="R17" s="137">
        <f t="shared" si="0"/>
        <v>238975.20324703792</v>
      </c>
      <c r="S17" s="23">
        <f t="shared" si="1"/>
        <v>52398.638314980519</v>
      </c>
      <c r="T17" s="23">
        <f t="shared" si="2"/>
        <v>22507.572107578846</v>
      </c>
      <c r="U17" s="45">
        <f>IF(SUM(R17:T17)=0,0,SUM(R17:T17)/'Sch PA-T-1 Cust Fcst'!F16)</f>
        <v>12072.36206421528</v>
      </c>
      <c r="V17" s="37">
        <f>'Sch PA-T-1 Cust Fcst'!$G16*'Non-Residential TSM UC Adj'!R17</f>
        <v>0</v>
      </c>
      <c r="W17" s="23">
        <f>'Sch PA-T-1 Cust Fcst'!$G16*'Non-Residential TSM UC Adj'!S17</f>
        <v>0</v>
      </c>
      <c r="X17" s="23">
        <f>'Sch PA-T-1 Cust Fcst'!$G16*'Non-Residential TSM UC Adj'!T17</f>
        <v>0</v>
      </c>
      <c r="Y17" s="45">
        <f>IF(SUM(V17:X17)=0,0,SUM(V17:X17)/'Sch PA-T-1 Cust Fcst'!G16)</f>
        <v>0</v>
      </c>
      <c r="Z17" s="23">
        <f t="shared" si="3"/>
        <v>238975.20324703792</v>
      </c>
      <c r="AA17" s="23">
        <f t="shared" si="4"/>
        <v>52398.638314980519</v>
      </c>
      <c r="AB17" s="23">
        <f t="shared" si="5"/>
        <v>22507.572107578846</v>
      </c>
      <c r="AC17" s="45">
        <f>IF(SUM(Z17:AB17)=0,0,SUM(Z17:AB17)/'Sch PA-T-1 Cust Fcst'!H16)</f>
        <v>12072.36206421528</v>
      </c>
    </row>
    <row r="18" spans="1:29">
      <c r="A18" s="155" t="s">
        <v>12</v>
      </c>
      <c r="B18" s="137">
        <f>'Sch PA-T-1 Cust Fcst'!$B17*'Non-Residential TSM UC Adj'!J18</f>
        <v>0</v>
      </c>
      <c r="C18" s="23">
        <f>'Sch PA-T-1 Cust Fcst'!$B17*'Non-Residential TSM UC Adj'!K18</f>
        <v>0</v>
      </c>
      <c r="D18" s="23">
        <f>'Sch PA-T-1 Cust Fcst'!$B17*'Non-Residential TSM UC Adj'!L18</f>
        <v>0</v>
      </c>
      <c r="E18" s="45">
        <f>IF(SUM(B18:D18)=0,0,SUM(B18:D18)/'Sch PA-T-1 Cust Fcst'!B17)</f>
        <v>0</v>
      </c>
      <c r="F18" s="137">
        <f>'Sch PA-T-1 Cust Fcst'!$C17*'Non-Residential TSM UC Adj'!J18</f>
        <v>0</v>
      </c>
      <c r="G18" s="23">
        <f>'Sch PA-T-1 Cust Fcst'!$C17*'Non-Residential TSM UC Adj'!K18</f>
        <v>0</v>
      </c>
      <c r="H18" s="23">
        <f>'Sch PA-T-1 Cust Fcst'!$C17*'Non-Residential TSM UC Adj'!L18</f>
        <v>0</v>
      </c>
      <c r="I18" s="45">
        <f>IF(SUM(F18:H18)=0,0,SUM(F18:H18)/'Sch PA-T-1 Cust Fcst'!C17)</f>
        <v>0</v>
      </c>
      <c r="J18" s="137">
        <f>'Sch PA-T-1 Cust Fcst'!$D17*'Non-Residential TSM UC Adj'!J18</f>
        <v>0</v>
      </c>
      <c r="K18" s="23">
        <f>'Sch PA-T-1 Cust Fcst'!$D17*'Non-Residential TSM UC Adj'!K18</f>
        <v>0</v>
      </c>
      <c r="L18" s="23">
        <f>'Sch PA-T-1 Cust Fcst'!$D17*'Non-Residential TSM UC Adj'!L18</f>
        <v>0</v>
      </c>
      <c r="M18" s="45">
        <f>IF(SUM(J18:L18)=0,0,SUM(J18:L18)/'Sch PA-T-1 Cust Fcst'!D17)</f>
        <v>0</v>
      </c>
      <c r="N18" s="137">
        <f>'Sch PA-T-1 Cust Fcst'!$E17*'Non-Residential TSM UC Adj'!N18</f>
        <v>330174.19387906342</v>
      </c>
      <c r="O18" s="23">
        <f>'Sch PA-T-1 Cust Fcst'!$E17*'Non-Residential TSM UC Adj'!O18</f>
        <v>56991.43809159752</v>
      </c>
      <c r="P18" s="23">
        <f>'Sch PA-T-1 Cust Fcst'!$E17*'Non-Residential TSM UC Adj'!P18</f>
        <v>15582.165305246896</v>
      </c>
      <c r="Q18" s="45">
        <f>IF(SUM(N18:P18)=0,0,SUM(N18:P18)/'Sch PA-T-1 Cust Fcst'!E17)</f>
        <v>22374.877626439324</v>
      </c>
      <c r="R18" s="137">
        <f t="shared" si="0"/>
        <v>330174.19387906342</v>
      </c>
      <c r="S18" s="23">
        <f t="shared" si="1"/>
        <v>56991.43809159752</v>
      </c>
      <c r="T18" s="23">
        <f t="shared" si="2"/>
        <v>15582.165305246896</v>
      </c>
      <c r="U18" s="45">
        <f>IF(SUM(R18:T18)=0,0,SUM(R18:T18)/'Sch PA-T-1 Cust Fcst'!F17)</f>
        <v>22374.877626439324</v>
      </c>
      <c r="V18" s="37">
        <f>'Sch PA-T-1 Cust Fcst'!$G17*'Non-Residential TSM UC Adj'!R18</f>
        <v>0</v>
      </c>
      <c r="W18" s="23">
        <f>'Sch PA-T-1 Cust Fcst'!$G17*'Non-Residential TSM UC Adj'!S18</f>
        <v>0</v>
      </c>
      <c r="X18" s="23">
        <f>'Sch PA-T-1 Cust Fcst'!$G17*'Non-Residential TSM UC Adj'!T18</f>
        <v>0</v>
      </c>
      <c r="Y18" s="45">
        <f>IF(SUM(V18:X18)=0,0,SUM(V18:X18)/'Sch PA-T-1 Cust Fcst'!G17)</f>
        <v>0</v>
      </c>
      <c r="Z18" s="23">
        <f t="shared" si="3"/>
        <v>330174.19387906342</v>
      </c>
      <c r="AA18" s="23">
        <f t="shared" si="4"/>
        <v>56991.43809159752</v>
      </c>
      <c r="AB18" s="23">
        <f t="shared" si="5"/>
        <v>15582.165305246896</v>
      </c>
      <c r="AC18" s="45">
        <f>IF(SUM(Z18:AB18)=0,0,SUM(Z18:AB18)/'Sch PA-T-1 Cust Fcst'!H17)</f>
        <v>22374.877626439324</v>
      </c>
    </row>
    <row r="19" spans="1:29">
      <c r="A19" s="155" t="s">
        <v>13</v>
      </c>
      <c r="B19" s="137">
        <f>'Sch PA-T-1 Cust Fcst'!$B18*'Non-Residential TSM UC Adj'!B19</f>
        <v>0</v>
      </c>
      <c r="C19" s="23">
        <f>'Sch PA-T-1 Cust Fcst'!$B18*'Non-Residential TSM UC Adj'!C19</f>
        <v>0</v>
      </c>
      <c r="D19" s="23">
        <f>'Sch PA-T-1 Cust Fcst'!$B18*'Non-Residential TSM UC Adj'!D19</f>
        <v>0</v>
      </c>
      <c r="E19" s="45">
        <f>IF(SUM(B19:D19)=0,0,SUM(B19:D19)/'Sch PA-T-1 Cust Fcst'!B18)</f>
        <v>0</v>
      </c>
      <c r="F19" s="137">
        <f>'Sch PA-T-1 Cust Fcst'!$C18*'Non-Residential TSM UC Adj'!J19</f>
        <v>0</v>
      </c>
      <c r="G19" s="23">
        <f>'Sch PA-T-1 Cust Fcst'!$C18*'Non-Residential TSM UC Adj'!K19</f>
        <v>0</v>
      </c>
      <c r="H19" s="23">
        <f>'Sch PA-T-1 Cust Fcst'!$C18*'Non-Residential TSM UC Adj'!L19</f>
        <v>0</v>
      </c>
      <c r="I19" s="45">
        <f>IF(SUM(F19:H19)=0,0,SUM(F19:H19)/'Sch PA-T-1 Cust Fcst'!C18)</f>
        <v>0</v>
      </c>
      <c r="J19" s="137">
        <f>'Sch PA-T-1 Cust Fcst'!$D18*'Non-Residential TSM UC Adj'!J19</f>
        <v>0</v>
      </c>
      <c r="K19" s="23">
        <f>'Sch PA-T-1 Cust Fcst'!$D18*'Non-Residential TSM UC Adj'!K19</f>
        <v>0</v>
      </c>
      <c r="L19" s="23">
        <f>'Sch PA-T-1 Cust Fcst'!$D18*'Non-Residential TSM UC Adj'!L19</f>
        <v>0</v>
      </c>
      <c r="M19" s="45">
        <f>IF(SUM(J19:L19)=0,0,SUM(J19:L19)/'Sch PA-T-1 Cust Fcst'!D18)</f>
        <v>0</v>
      </c>
      <c r="N19" s="137">
        <f>'Sch PA-T-1 Cust Fcst'!$E18*'Non-Residential TSM UC Adj'!N19</f>
        <v>173688.91454588919</v>
      </c>
      <c r="O19" s="23">
        <f>'Sch PA-T-1 Cust Fcst'!$E18*'Non-Residential TSM UC Adj'!O19</f>
        <v>54339.328622942761</v>
      </c>
      <c r="P19" s="23">
        <f>'Sch PA-T-1 Cust Fcst'!$E18*'Non-Residential TSM UC Adj'!P19</f>
        <v>12119.461904080918</v>
      </c>
      <c r="Q19" s="45">
        <f>IF(SUM(N19:P19)=0,0,SUM(N19:P19)/'Sch PA-T-1 Cust Fcst'!E18)</f>
        <v>17153.407505208063</v>
      </c>
      <c r="R19" s="137">
        <f t="shared" si="0"/>
        <v>173688.91454588919</v>
      </c>
      <c r="S19" s="23">
        <f t="shared" si="1"/>
        <v>54339.328622942761</v>
      </c>
      <c r="T19" s="23">
        <f t="shared" si="2"/>
        <v>12119.461904080918</v>
      </c>
      <c r="U19" s="45">
        <f>IF(SUM(R19:T19)=0,0,SUM(R19:T19)/'Sch PA-T-1 Cust Fcst'!F18)</f>
        <v>17153.407505208063</v>
      </c>
      <c r="V19" s="37">
        <f>'Sch PA-T-1 Cust Fcst'!$G18*'Non-Residential TSM UC Adj'!R19</f>
        <v>0</v>
      </c>
      <c r="W19" s="23">
        <f>'Sch PA-T-1 Cust Fcst'!$G18*'Non-Residential TSM UC Adj'!S19</f>
        <v>3129.9273129422195</v>
      </c>
      <c r="X19" s="23">
        <f>'Sch PA-T-1 Cust Fcst'!$G18*'Non-Residential TSM UC Adj'!T19</f>
        <v>967.82163835260417</v>
      </c>
      <c r="Y19" s="45">
        <f>IF(SUM(V19:X19)=0,0,SUM(V19:X19)/'Sch PA-T-1 Cust Fcst'!G18)</f>
        <v>4097.7489512948232</v>
      </c>
      <c r="Z19" s="23">
        <f t="shared" si="3"/>
        <v>173688.91454588919</v>
      </c>
      <c r="AA19" s="23">
        <f t="shared" si="4"/>
        <v>57469.255935884983</v>
      </c>
      <c r="AB19" s="23">
        <f t="shared" si="5"/>
        <v>13087.283542433521</v>
      </c>
      <c r="AC19" s="45">
        <f>IF(SUM(Z19:AB19)=0,0,SUM(Z19:AB19)/'Sch PA-T-1 Cust Fcst'!H18)</f>
        <v>16283.030268280512</v>
      </c>
    </row>
    <row r="20" spans="1:29">
      <c r="A20" s="155" t="s">
        <v>122</v>
      </c>
      <c r="B20" s="137">
        <f>'Sch PA-T-1 Cust Fcst'!$B19*'Non-Residential TSM UC Adj'!B20</f>
        <v>0</v>
      </c>
      <c r="C20" s="23">
        <f>'Sch PA-T-1 Cust Fcst'!$B19*'Non-Residential TSM UC Adj'!C20</f>
        <v>0</v>
      </c>
      <c r="D20" s="23">
        <f>'Sch PA-T-1 Cust Fcst'!$B19*'Non-Residential TSM UC Adj'!D20</f>
        <v>0</v>
      </c>
      <c r="E20" s="45">
        <f>IF(SUM(B20:D20)=0,0,SUM(B20:D20)/'Sch PA-T-1 Cust Fcst'!B19)</f>
        <v>0</v>
      </c>
      <c r="F20" s="137">
        <f>'Sch PA-T-1 Cust Fcst'!$C19*'Non-Residential TSM UC Adj'!J20</f>
        <v>0</v>
      </c>
      <c r="G20" s="23">
        <f>'Sch PA-T-1 Cust Fcst'!$C19*'Non-Residential TSM UC Adj'!K20</f>
        <v>0</v>
      </c>
      <c r="H20" s="23">
        <f>'Sch PA-T-1 Cust Fcst'!$C19*'Non-Residential TSM UC Adj'!L20</f>
        <v>0</v>
      </c>
      <c r="I20" s="45">
        <f>IF(SUM(F20:H20)=0,0,SUM(F20:H20)/'Sch PA-T-1 Cust Fcst'!C19)</f>
        <v>0</v>
      </c>
      <c r="J20" s="137">
        <f>'Sch PA-T-1 Cust Fcst'!$D19*'Non-Residential TSM UC Adj'!J20</f>
        <v>0</v>
      </c>
      <c r="K20" s="23">
        <f>'Sch PA-T-1 Cust Fcst'!$D19*'Non-Residential TSM UC Adj'!K20</f>
        <v>0</v>
      </c>
      <c r="L20" s="23">
        <f>'Sch PA-T-1 Cust Fcst'!$D19*'Non-Residential TSM UC Adj'!L20</f>
        <v>0</v>
      </c>
      <c r="M20" s="45">
        <f>IF(SUM(J20:L20)=0,0,SUM(J20:L20)/'Sch PA-T-1 Cust Fcst'!D19)</f>
        <v>0</v>
      </c>
      <c r="N20" s="137">
        <f>'Sch PA-T-1 Cust Fcst'!$E19*'Non-Residential TSM UC Adj'!N20</f>
        <v>99179.2010031885</v>
      </c>
      <c r="O20" s="23">
        <f>'Sch PA-T-1 Cust Fcst'!$E19*'Non-Residential TSM UC Adj'!O20</f>
        <v>27169.664311471381</v>
      </c>
      <c r="P20" s="23">
        <f>'Sch PA-T-1 Cust Fcst'!$E19*'Non-Residential TSM UC Adj'!P20</f>
        <v>6059.7309520404588</v>
      </c>
      <c r="Q20" s="45">
        <f>IF(SUM(N20:P20)=0,0,SUM(N20:P20)/'Sch PA-T-1 Cust Fcst'!E19)</f>
        <v>18915.513752385763</v>
      </c>
      <c r="R20" s="137">
        <f t="shared" si="0"/>
        <v>99179.2010031885</v>
      </c>
      <c r="S20" s="23">
        <f t="shared" si="1"/>
        <v>27169.664311471381</v>
      </c>
      <c r="T20" s="23">
        <f t="shared" si="2"/>
        <v>6059.7309520404588</v>
      </c>
      <c r="U20" s="45">
        <f>IF(SUM(R20:T20)=0,0,SUM(R20:T20)/'Sch PA-T-1 Cust Fcst'!F19)</f>
        <v>18915.513752385763</v>
      </c>
      <c r="V20" s="37">
        <f>'Sch PA-T-1 Cust Fcst'!$G19*'Non-Residential TSM UC Adj'!R20</f>
        <v>0</v>
      </c>
      <c r="W20" s="23">
        <f>'Sch PA-T-1 Cust Fcst'!$G19*'Non-Residential TSM UC Adj'!S20</f>
        <v>3129.9273129422195</v>
      </c>
      <c r="X20" s="23">
        <f>'Sch PA-T-1 Cust Fcst'!$G19*'Non-Residential TSM UC Adj'!T20</f>
        <v>967.82163835260417</v>
      </c>
      <c r="Y20" s="45">
        <f>IF(SUM(V20:X20)=0,0,SUM(V20:X20)/'Sch PA-T-1 Cust Fcst'!G19)</f>
        <v>4097.7489512948232</v>
      </c>
      <c r="Z20" s="23">
        <f t="shared" si="3"/>
        <v>99179.2010031885</v>
      </c>
      <c r="AA20" s="23">
        <f t="shared" si="4"/>
        <v>30299.591624413599</v>
      </c>
      <c r="AB20" s="23">
        <f t="shared" si="5"/>
        <v>7027.5525903930629</v>
      </c>
      <c r="AC20" s="45">
        <f>IF(SUM(Z20:AB20)=0,0,SUM(Z20:AB20)/'Sch PA-T-1 Cust Fcst'!H19)</f>
        <v>17063.293152249396</v>
      </c>
    </row>
    <row r="21" spans="1:29">
      <c r="A21" s="155" t="s">
        <v>123</v>
      </c>
      <c r="B21" s="137">
        <f>'Sch PA-T-1 Cust Fcst'!$B20*'Non-Residential TSM UC Adj'!B21</f>
        <v>0</v>
      </c>
      <c r="C21" s="23">
        <f>'Sch PA-T-1 Cust Fcst'!$B20*'Non-Residential TSM UC Adj'!C21</f>
        <v>0</v>
      </c>
      <c r="D21" s="23">
        <f>'Sch PA-T-1 Cust Fcst'!$B20*'Non-Residential TSM UC Adj'!D21</f>
        <v>0</v>
      </c>
      <c r="E21" s="45">
        <f>IF(SUM(B21:D21)=0,0,SUM(B21:D21)/'Sch PA-T-1 Cust Fcst'!B20)</f>
        <v>0</v>
      </c>
      <c r="F21" s="137">
        <f>'Sch PA-T-1 Cust Fcst'!$C20*'Non-Residential TSM UC Adj'!J21</f>
        <v>0</v>
      </c>
      <c r="G21" s="23">
        <f>'Sch PA-T-1 Cust Fcst'!$C20*'Non-Residential TSM UC Adj'!K21</f>
        <v>0</v>
      </c>
      <c r="H21" s="23">
        <f>'Sch PA-T-1 Cust Fcst'!$C20*'Non-Residential TSM UC Adj'!L21</f>
        <v>0</v>
      </c>
      <c r="I21" s="45">
        <f>IF(SUM(F21:H21)=0,0,SUM(F21:H21)/'Sch PA-T-1 Cust Fcst'!C20)</f>
        <v>0</v>
      </c>
      <c r="J21" s="137">
        <f>'Sch PA-T-1 Cust Fcst'!$D20*'Non-Residential TSM UC Adj'!J21</f>
        <v>0</v>
      </c>
      <c r="K21" s="23">
        <f>'Sch PA-T-1 Cust Fcst'!$D20*'Non-Residential TSM UC Adj'!K21</f>
        <v>0</v>
      </c>
      <c r="L21" s="23">
        <f>'Sch PA-T-1 Cust Fcst'!$D20*'Non-Residential TSM UC Adj'!L21</f>
        <v>0</v>
      </c>
      <c r="M21" s="45">
        <f>IF(SUM(J21:L21)=0,0,SUM(J21:L21)/'Sch PA-T-1 Cust Fcst'!D20)</f>
        <v>0</v>
      </c>
      <c r="N21" s="137">
        <f>'Sch PA-T-1 Cust Fcst'!$E20*'Non-Residential TSM UC Adj'!N21</f>
        <v>56673.829144679141</v>
      </c>
      <c r="O21" s="23">
        <f>'Sch PA-T-1 Cust Fcst'!$E20*'Non-Residential TSM UC Adj'!O21</f>
        <v>15525.522463697931</v>
      </c>
      <c r="P21" s="23">
        <f>'Sch PA-T-1 Cust Fcst'!$E20*'Non-Residential TSM UC Adj'!P21</f>
        <v>3462.7034011659766</v>
      </c>
      <c r="Q21" s="45">
        <f>IF(SUM(N21:P21)=0,0,SUM(N21:P21)/'Sch PA-T-1 Cust Fcst'!E20)</f>
        <v>18915.513752385759</v>
      </c>
      <c r="R21" s="137">
        <f t="shared" si="0"/>
        <v>56673.829144679141</v>
      </c>
      <c r="S21" s="23">
        <f t="shared" si="1"/>
        <v>15525.522463697931</v>
      </c>
      <c r="T21" s="23">
        <f t="shared" si="2"/>
        <v>3462.7034011659766</v>
      </c>
      <c r="U21" s="45">
        <f>IF(SUM(R21:T21)=0,0,SUM(R21:T21)/'Sch PA-T-1 Cust Fcst'!F20)</f>
        <v>18915.513752385759</v>
      </c>
      <c r="V21" s="37">
        <f>'Sch PA-T-1 Cust Fcst'!$G20*'Non-Residential TSM UC Adj'!R21</f>
        <v>0</v>
      </c>
      <c r="W21" s="23">
        <f>'Sch PA-T-1 Cust Fcst'!$G20*'Non-Residential TSM UC Adj'!S21</f>
        <v>0</v>
      </c>
      <c r="X21" s="23">
        <f>'Sch PA-T-1 Cust Fcst'!$G20*'Non-Residential TSM UC Adj'!T21</f>
        <v>0</v>
      </c>
      <c r="Y21" s="45">
        <f>IF(SUM(V21:X21)=0,0,SUM(V21:X21)/'Sch PA-T-1 Cust Fcst'!G20)</f>
        <v>0</v>
      </c>
      <c r="Z21" s="23">
        <f t="shared" si="3"/>
        <v>56673.829144679141</v>
      </c>
      <c r="AA21" s="23">
        <f t="shared" si="4"/>
        <v>15525.522463697931</v>
      </c>
      <c r="AB21" s="23">
        <f t="shared" si="5"/>
        <v>3462.7034011659766</v>
      </c>
      <c r="AC21" s="45">
        <f>IF(SUM(Z21:AB21)=0,0,SUM(Z21:AB21)/'Sch PA-T-1 Cust Fcst'!H20)</f>
        <v>18915.513752385759</v>
      </c>
    </row>
    <row r="22" spans="1:29">
      <c r="A22" s="153" t="s">
        <v>14</v>
      </c>
      <c r="B22" s="137">
        <f>'Sch PA-T-1 Cust Fcst'!$B21*'Non-Residential TSM UC Adj'!B22</f>
        <v>0</v>
      </c>
      <c r="C22" s="23">
        <f>'Sch PA-T-1 Cust Fcst'!$B21*'Non-Residential TSM UC Adj'!C22</f>
        <v>0</v>
      </c>
      <c r="D22" s="23">
        <f>'Sch PA-T-1 Cust Fcst'!$B21*'Non-Residential TSM UC Adj'!D22</f>
        <v>0</v>
      </c>
      <c r="E22" s="45">
        <f>IF(SUM(B22:D22)=0,0,SUM(B22:D22)/'Sch PA-T-1 Cust Fcst'!B21)</f>
        <v>0</v>
      </c>
      <c r="F22" s="137">
        <f>'Sch PA-T-1 Cust Fcst'!$C21*'Non-Residential TSM UC Adj'!J22</f>
        <v>0</v>
      </c>
      <c r="G22" s="23">
        <f>'Sch PA-T-1 Cust Fcst'!$C21*'Non-Residential TSM UC Adj'!K22</f>
        <v>0</v>
      </c>
      <c r="H22" s="23">
        <f>'Sch PA-T-1 Cust Fcst'!$C21*'Non-Residential TSM UC Adj'!L22</f>
        <v>0</v>
      </c>
      <c r="I22" s="45">
        <f>IF(SUM(F22:H22)=0,0,SUM(F22:H22)/'Sch PA-T-1 Cust Fcst'!C21)</f>
        <v>0</v>
      </c>
      <c r="J22" s="137">
        <f>'Sch PA-T-1 Cust Fcst'!$D21*'Non-Residential TSM UC Adj'!J22</f>
        <v>0</v>
      </c>
      <c r="K22" s="23">
        <f>'Sch PA-T-1 Cust Fcst'!$D21*'Non-Residential TSM UC Adj'!K22</f>
        <v>0</v>
      </c>
      <c r="L22" s="23">
        <f>'Sch PA-T-1 Cust Fcst'!$D21*'Non-Residential TSM UC Adj'!L22</f>
        <v>0</v>
      </c>
      <c r="M22" s="45">
        <f>IF(SUM(J22:L22)=0,0,SUM(J22:L22)/'Sch PA-T-1 Cust Fcst'!D21)</f>
        <v>0</v>
      </c>
      <c r="N22" s="137">
        <f>'Sch PA-T-1 Cust Fcst'!$E21*'Non-Residential TSM UC Adj'!N22</f>
        <v>255032.23115105613</v>
      </c>
      <c r="O22" s="23">
        <f>'Sch PA-T-1 Cust Fcst'!$E21*'Non-Residential TSM UC Adj'!O22</f>
        <v>56991.43809159752</v>
      </c>
      <c r="P22" s="23">
        <f>'Sch PA-T-1 Cust Fcst'!$E21*'Non-Residential TSM UC Adj'!P22</f>
        <v>7791.0826526234478</v>
      </c>
      <c r="Q22" s="45">
        <f>IF(SUM(N22:P22)=0,0,SUM(N22:P22)/'Sch PA-T-1 Cust Fcst'!E21)</f>
        <v>35534.972432808572</v>
      </c>
      <c r="R22" s="137">
        <f t="shared" si="0"/>
        <v>255032.23115105613</v>
      </c>
      <c r="S22" s="23">
        <f t="shared" si="1"/>
        <v>56991.43809159752</v>
      </c>
      <c r="T22" s="23">
        <f t="shared" si="2"/>
        <v>7791.0826526234478</v>
      </c>
      <c r="U22" s="45">
        <f>IF(SUM(R22:T22)=0,0,SUM(R22:T22)/'Sch PA-T-1 Cust Fcst'!F21)</f>
        <v>35534.972432808572</v>
      </c>
      <c r="V22" s="37">
        <f>'Sch PA-T-1 Cust Fcst'!$G21*'Non-Residential TSM UC Adj'!R22</f>
        <v>0</v>
      </c>
      <c r="W22" s="23">
        <f>'Sch PA-T-1 Cust Fcst'!$G21*'Non-Residential TSM UC Adj'!S22</f>
        <v>12519.709251768878</v>
      </c>
      <c r="X22" s="23">
        <f>'Sch PA-T-1 Cust Fcst'!$G21*'Non-Residential TSM UC Adj'!T22</f>
        <v>3871.2865534104167</v>
      </c>
      <c r="Y22" s="45">
        <f>IF(SUM(V22:X22)=0,0,SUM(V22:X22)/'Sch PA-T-1 Cust Fcst'!G21)</f>
        <v>4097.7489512948232</v>
      </c>
      <c r="Z22" s="23">
        <f t="shared" si="3"/>
        <v>255032.23115105613</v>
      </c>
      <c r="AA22" s="23">
        <f t="shared" si="4"/>
        <v>69511.147343366392</v>
      </c>
      <c r="AB22" s="23">
        <f t="shared" si="5"/>
        <v>11662.369206033865</v>
      </c>
      <c r="AC22" s="45">
        <f>IF(SUM(Z22:AB22)=0,0,SUM(Z22:AB22)/'Sch PA-T-1 Cust Fcst'!H21)</f>
        <v>25861.980592342799</v>
      </c>
    </row>
    <row r="23" spans="1:29">
      <c r="A23" s="155" t="s">
        <v>15</v>
      </c>
      <c r="B23" s="137">
        <f>'Sch PA-T-1 Cust Fcst'!$B22*'Non-Residential TSM UC Adj'!B23</f>
        <v>0</v>
      </c>
      <c r="C23" s="23">
        <f>'Sch PA-T-1 Cust Fcst'!$B22*'Non-Residential TSM UC Adj'!C23</f>
        <v>0</v>
      </c>
      <c r="D23" s="23">
        <f>'Sch PA-T-1 Cust Fcst'!$B22*'Non-Residential TSM UC Adj'!D23</f>
        <v>0</v>
      </c>
      <c r="E23" s="45">
        <f>IF(SUM(B23:D23)=0,0,SUM(B23:D23)/'Sch PA-T-1 Cust Fcst'!B22)</f>
        <v>0</v>
      </c>
      <c r="F23" s="137">
        <f>'Sch PA-T-1 Cust Fcst'!$C22*'Non-Residential TSM UC Adj'!J23</f>
        <v>0</v>
      </c>
      <c r="G23" s="23">
        <f>'Sch PA-T-1 Cust Fcst'!$C22*'Non-Residential TSM UC Adj'!K23</f>
        <v>0</v>
      </c>
      <c r="H23" s="23">
        <f>'Sch PA-T-1 Cust Fcst'!$C22*'Non-Residential TSM UC Adj'!L23</f>
        <v>0</v>
      </c>
      <c r="I23" s="45">
        <f>IF(SUM(F23:H23)=0,0,SUM(F23:H23)/'Sch PA-T-1 Cust Fcst'!C22)</f>
        <v>0</v>
      </c>
      <c r="J23" s="137">
        <f>'Sch PA-T-1 Cust Fcst'!$D22*'Non-Residential TSM UC Adj'!J23</f>
        <v>0</v>
      </c>
      <c r="K23" s="23">
        <f>'Sch PA-T-1 Cust Fcst'!$D22*'Non-Residential TSM UC Adj'!K23</f>
        <v>0</v>
      </c>
      <c r="L23" s="23">
        <f>'Sch PA-T-1 Cust Fcst'!$D22*'Non-Residential TSM UC Adj'!L23</f>
        <v>0</v>
      </c>
      <c r="M23" s="45">
        <f>IF(SUM(J23:L23)=0,0,SUM(J23:L23)/'Sch PA-T-1 Cust Fcst'!D22)</f>
        <v>0</v>
      </c>
      <c r="N23" s="137">
        <f>'Sch PA-T-1 Cust Fcst'!$E22*'Non-Residential TSM UC Adj'!N23</f>
        <v>171765.07925499365</v>
      </c>
      <c r="O23" s="23">
        <f>'Sch PA-T-1 Cust Fcst'!$E22*'Non-Residential TSM UC Adj'!O23</f>
        <v>31661.910050887509</v>
      </c>
      <c r="P23" s="23">
        <f>'Sch PA-T-1 Cust Fcst'!$E22*'Non-Residential TSM UC Adj'!P23</f>
        <v>4328.3792514574707</v>
      </c>
      <c r="Q23" s="45">
        <f>IF(SUM(N23:P23)=0,0,SUM(N23:P23)/'Sch PA-T-1 Cust Fcst'!E22)</f>
        <v>41551.073711467718</v>
      </c>
      <c r="R23" s="137">
        <f t="shared" si="0"/>
        <v>171765.07925499365</v>
      </c>
      <c r="S23" s="23">
        <f t="shared" si="1"/>
        <v>31661.910050887509</v>
      </c>
      <c r="T23" s="23">
        <f t="shared" si="2"/>
        <v>4328.3792514574707</v>
      </c>
      <c r="U23" s="45">
        <f>IF(SUM(R23:T23)=0,0,SUM(R23:T23)/'Sch PA-T-1 Cust Fcst'!F22)</f>
        <v>41551.073711467718</v>
      </c>
      <c r="V23" s="37">
        <f>'Sch PA-T-1 Cust Fcst'!$G22*'Non-Residential TSM UC Adj'!R23</f>
        <v>0</v>
      </c>
      <c r="W23" s="23">
        <f>'Sch PA-T-1 Cust Fcst'!$G22*'Non-Residential TSM UC Adj'!S23</f>
        <v>3129.9273129422195</v>
      </c>
      <c r="X23" s="23">
        <f>'Sch PA-T-1 Cust Fcst'!$G22*'Non-Residential TSM UC Adj'!T23</f>
        <v>967.82163835260417</v>
      </c>
      <c r="Y23" s="45">
        <f>IF(SUM(V23:X23)=0,0,SUM(V23:X23)/'Sch PA-T-1 Cust Fcst'!G22)</f>
        <v>4097.7489512948232</v>
      </c>
      <c r="Z23" s="23">
        <f t="shared" si="3"/>
        <v>171765.07925499365</v>
      </c>
      <c r="AA23" s="23">
        <f t="shared" si="4"/>
        <v>34791.837363829727</v>
      </c>
      <c r="AB23" s="23">
        <f t="shared" si="5"/>
        <v>5296.2008898100748</v>
      </c>
      <c r="AC23" s="45">
        <f>IF(SUM(Z23:AB23)=0,0,SUM(Z23:AB23)/'Sch PA-T-1 Cust Fcst'!H22)</f>
        <v>35308.852918105571</v>
      </c>
    </row>
    <row r="24" spans="1:29">
      <c r="A24" s="155" t="s">
        <v>16</v>
      </c>
      <c r="B24" s="137">
        <f>'Sch PA-T-1 Cust Fcst'!$B23*'Non-Residential TSM UC Adj'!B24</f>
        <v>0</v>
      </c>
      <c r="C24" s="23">
        <f>'Sch PA-T-1 Cust Fcst'!$B23*'Non-Residential TSM UC Adj'!C24</f>
        <v>0</v>
      </c>
      <c r="D24" s="23">
        <f>'Sch PA-T-1 Cust Fcst'!$B23*'Non-Residential TSM UC Adj'!D24</f>
        <v>0</v>
      </c>
      <c r="E24" s="45">
        <f>IF(SUM(B24:D24)=0,0,SUM(B24:D24)/'Sch PA-T-1 Cust Fcst'!B23)</f>
        <v>0</v>
      </c>
      <c r="F24" s="137">
        <f>'Sch PA-T-1 Cust Fcst'!$C23*'Non-Residential TSM UC Adj'!J24</f>
        <v>0</v>
      </c>
      <c r="G24" s="23">
        <f>'Sch PA-T-1 Cust Fcst'!$C23*'Non-Residential TSM UC Adj'!K24</f>
        <v>0</v>
      </c>
      <c r="H24" s="23">
        <f>'Sch PA-T-1 Cust Fcst'!$C23*'Non-Residential TSM UC Adj'!L24</f>
        <v>0</v>
      </c>
      <c r="I24" s="45">
        <f>IF(SUM(F24:H24)=0,0,SUM(F24:H24)/'Sch PA-T-1 Cust Fcst'!C23)</f>
        <v>0</v>
      </c>
      <c r="J24" s="137">
        <f>'Sch PA-T-1 Cust Fcst'!$D23*'Non-Residential TSM UC Adj'!J24</f>
        <v>0</v>
      </c>
      <c r="K24" s="23">
        <f>'Sch PA-T-1 Cust Fcst'!$D23*'Non-Residential TSM UC Adj'!K24</f>
        <v>0</v>
      </c>
      <c r="L24" s="23">
        <f>'Sch PA-T-1 Cust Fcst'!$D23*'Non-Residential TSM UC Adj'!L24</f>
        <v>0</v>
      </c>
      <c r="M24" s="45">
        <f>IF(SUM(J24:L24)=0,0,SUM(J24:L24)/'Sch PA-T-1 Cust Fcst'!D23)</f>
        <v>0</v>
      </c>
      <c r="N24" s="137">
        <f>'Sch PA-T-1 Cust Fcst'!$E23*'Non-Residential TSM UC Adj'!N24</f>
        <v>240471.11095699112</v>
      </c>
      <c r="O24" s="23">
        <f>'Sch PA-T-1 Cust Fcst'!$E23*'Non-Residential TSM UC Adj'!O24</f>
        <v>44326.674071242509</v>
      </c>
      <c r="P24" s="23">
        <f>'Sch PA-T-1 Cust Fcst'!$E23*'Non-Residential TSM UC Adj'!P24</f>
        <v>6059.7309520404588</v>
      </c>
      <c r="Q24" s="45">
        <f>IF(SUM(N24:P24)=0,0,SUM(N24:P24)/'Sch PA-T-1 Cust Fcst'!E23)</f>
        <v>41551.073711467732</v>
      </c>
      <c r="R24" s="137">
        <f t="shared" si="0"/>
        <v>240471.11095699112</v>
      </c>
      <c r="S24" s="23">
        <f t="shared" si="1"/>
        <v>44326.674071242509</v>
      </c>
      <c r="T24" s="23">
        <f t="shared" si="2"/>
        <v>6059.7309520404588</v>
      </c>
      <c r="U24" s="45">
        <f>IF(SUM(R24:T24)=0,0,SUM(R24:T24)/'Sch PA-T-1 Cust Fcst'!F23)</f>
        <v>41551.073711467732</v>
      </c>
      <c r="V24" s="37">
        <f>'Sch PA-T-1 Cust Fcst'!$G23*'Non-Residential TSM UC Adj'!R24</f>
        <v>0</v>
      </c>
      <c r="W24" s="23">
        <f>'Sch PA-T-1 Cust Fcst'!$G23*'Non-Residential TSM UC Adj'!S24</f>
        <v>0</v>
      </c>
      <c r="X24" s="23">
        <f>'Sch PA-T-1 Cust Fcst'!$G23*'Non-Residential TSM UC Adj'!T24</f>
        <v>0</v>
      </c>
      <c r="Y24" s="45">
        <f>IF(SUM(V24:X24)=0,0,SUM(V24:X24)/'Sch PA-T-1 Cust Fcst'!G23)</f>
        <v>0</v>
      </c>
      <c r="Z24" s="23">
        <f t="shared" si="3"/>
        <v>240471.11095699112</v>
      </c>
      <c r="AA24" s="23">
        <f t="shared" si="4"/>
        <v>44326.674071242509</v>
      </c>
      <c r="AB24" s="23">
        <f t="shared" si="5"/>
        <v>6059.7309520404588</v>
      </c>
      <c r="AC24" s="45">
        <f>IF(SUM(Z24:AB24)=0,0,SUM(Z24:AB24)/'Sch PA-T-1 Cust Fcst'!H23)</f>
        <v>41551.073711467732</v>
      </c>
    </row>
    <row r="25" spans="1:29">
      <c r="A25" s="155" t="s">
        <v>17</v>
      </c>
      <c r="B25" s="137">
        <f>'Sch PA-T-1 Cust Fcst'!$B24*'Non-Residential TSM UC Adj'!B25</f>
        <v>0</v>
      </c>
      <c r="C25" s="23">
        <f>'Sch PA-T-1 Cust Fcst'!$B24*'Non-Residential TSM UC Adj'!C25</f>
        <v>0</v>
      </c>
      <c r="D25" s="23">
        <f>'Sch PA-T-1 Cust Fcst'!$B24*'Non-Residential TSM UC Adj'!D25</f>
        <v>0</v>
      </c>
      <c r="E25" s="45">
        <f>IF(SUM(B25:D25)=0,0,SUM(B25:D25)/'Sch PA-T-1 Cust Fcst'!B24)</f>
        <v>0</v>
      </c>
      <c r="F25" s="137">
        <f>'Sch PA-T-1 Cust Fcst'!$C24*'Non-Residential TSM UC Adj'!J25</f>
        <v>0</v>
      </c>
      <c r="G25" s="23">
        <f>'Sch PA-T-1 Cust Fcst'!$C24*'Non-Residential TSM UC Adj'!K25</f>
        <v>0</v>
      </c>
      <c r="H25" s="23">
        <f>'Sch PA-T-1 Cust Fcst'!$C24*'Non-Residential TSM UC Adj'!L25</f>
        <v>0</v>
      </c>
      <c r="I25" s="45">
        <f>IF(SUM(F25:H25)=0,0,SUM(F25:H25)/'Sch PA-T-1 Cust Fcst'!C24)</f>
        <v>0</v>
      </c>
      <c r="J25" s="137">
        <f>'Sch PA-T-1 Cust Fcst'!$D24*'Non-Residential TSM UC Adj'!J25</f>
        <v>0</v>
      </c>
      <c r="K25" s="23">
        <f>'Sch PA-T-1 Cust Fcst'!$D24*'Non-Residential TSM UC Adj'!K25</f>
        <v>0</v>
      </c>
      <c r="L25" s="23">
        <f>'Sch PA-T-1 Cust Fcst'!$D24*'Non-Residential TSM UC Adj'!L25</f>
        <v>0</v>
      </c>
      <c r="M25" s="45">
        <f>IF(SUM(J25:L25)=0,0,SUM(J25:L25)/'Sch PA-T-1 Cust Fcst'!D24)</f>
        <v>0</v>
      </c>
      <c r="N25" s="137">
        <f>'Sch PA-T-1 Cust Fcst'!$E24*'Non-Residential TSM UC Adj'!N25</f>
        <v>277827.23398394365</v>
      </c>
      <c r="O25" s="23">
        <f>'Sch PA-T-1 Cust Fcst'!$E24*'Non-Residential TSM UC Adj'!O25</f>
        <v>66490.011106863763</v>
      </c>
      <c r="P25" s="23">
        <f>'Sch PA-T-1 Cust Fcst'!$E24*'Non-Residential TSM UC Adj'!P25</f>
        <v>6059.7309520404588</v>
      </c>
      <c r="Q25" s="45">
        <f>IF(SUM(N25:P25)=0,0,SUM(N25:P25)/'Sch PA-T-1 Cust Fcst'!E24)</f>
        <v>50053.853720406842</v>
      </c>
      <c r="R25" s="137">
        <f t="shared" si="0"/>
        <v>277827.23398394365</v>
      </c>
      <c r="S25" s="23">
        <f t="shared" si="1"/>
        <v>66490.011106863763</v>
      </c>
      <c r="T25" s="23">
        <f t="shared" si="2"/>
        <v>6059.7309520404588</v>
      </c>
      <c r="U25" s="45">
        <f>IF(SUM(R25:T25)=0,0,SUM(R25:T25)/'Sch PA-T-1 Cust Fcst'!F24)</f>
        <v>50053.853720406842</v>
      </c>
      <c r="V25" s="37">
        <f>'Sch PA-T-1 Cust Fcst'!$G24*'Non-Residential TSM UC Adj'!R25</f>
        <v>0</v>
      </c>
      <c r="W25" s="23">
        <f>'Sch PA-T-1 Cust Fcst'!$G24*'Non-Residential TSM UC Adj'!S25</f>
        <v>9389.781938826658</v>
      </c>
      <c r="X25" s="23">
        <f>'Sch PA-T-1 Cust Fcst'!$G24*'Non-Residential TSM UC Adj'!T25</f>
        <v>2903.4649150578125</v>
      </c>
      <c r="Y25" s="45">
        <f>IF(SUM(V25:X25)=0,0,SUM(V25:X25)/'Sch PA-T-1 Cust Fcst'!G24)</f>
        <v>4097.7489512948232</v>
      </c>
      <c r="Z25" s="23">
        <f t="shared" si="3"/>
        <v>277827.23398394365</v>
      </c>
      <c r="AA25" s="23">
        <f t="shared" si="4"/>
        <v>75879.793045690429</v>
      </c>
      <c r="AB25" s="23">
        <f t="shared" si="5"/>
        <v>8963.1958670982713</v>
      </c>
      <c r="AC25" s="45">
        <f>IF(SUM(Z25:AB25)=0,0,SUM(Z25:AB25)/'Sch PA-T-1 Cust Fcst'!H24)</f>
        <v>36267.022289673238</v>
      </c>
    </row>
    <row r="26" spans="1:29">
      <c r="A26" s="155" t="s">
        <v>18</v>
      </c>
      <c r="B26" s="137">
        <f>'Sch PA-T-1 Cust Fcst'!$B25*'Non-Residential TSM UC Adj'!B26</f>
        <v>0</v>
      </c>
      <c r="C26" s="23">
        <f>'Sch PA-T-1 Cust Fcst'!$B25*'Non-Residential TSM UC Adj'!C26</f>
        <v>0</v>
      </c>
      <c r="D26" s="23">
        <f>'Sch PA-T-1 Cust Fcst'!$B25*'Non-Residential TSM UC Adj'!D26</f>
        <v>0</v>
      </c>
      <c r="E26" s="45">
        <f>IF(SUM(B26:D26)=0,0,SUM(B26:D26)/'Sch PA-T-1 Cust Fcst'!B25)</f>
        <v>0</v>
      </c>
      <c r="F26" s="137">
        <f>'Sch PA-T-1 Cust Fcst'!$C25*'Non-Residential TSM UC Adj'!J26</f>
        <v>0</v>
      </c>
      <c r="G26" s="23">
        <f>'Sch PA-T-1 Cust Fcst'!$C25*'Non-Residential TSM UC Adj'!K26</f>
        <v>0</v>
      </c>
      <c r="H26" s="23">
        <f>'Sch PA-T-1 Cust Fcst'!$C25*'Non-Residential TSM UC Adj'!L26</f>
        <v>0</v>
      </c>
      <c r="I26" s="45">
        <f>IF(SUM(F26:H26)=0,0,SUM(F26:H26)/'Sch PA-T-1 Cust Fcst'!C25)</f>
        <v>0</v>
      </c>
      <c r="J26" s="137">
        <f>'Sch PA-T-1 Cust Fcst'!$D25*'Non-Residential TSM UC Adj'!J26</f>
        <v>0</v>
      </c>
      <c r="K26" s="23">
        <f>'Sch PA-T-1 Cust Fcst'!$D25*'Non-Residential TSM UC Adj'!K26</f>
        <v>0</v>
      </c>
      <c r="L26" s="23">
        <f>'Sch PA-T-1 Cust Fcst'!$D25*'Non-Residential TSM UC Adj'!L26</f>
        <v>0</v>
      </c>
      <c r="M26" s="45">
        <f>IF(SUM(J26:L26)=0,0,SUM(J26:L26)/'Sch PA-T-1 Cust Fcst'!D25)</f>
        <v>0</v>
      </c>
      <c r="N26" s="137">
        <f>'Sch PA-T-1 Cust Fcst'!$E25*'Non-Residential TSM UC Adj'!N26</f>
        <v>79379.209709698189</v>
      </c>
      <c r="O26" s="23">
        <f>'Sch PA-T-1 Cust Fcst'!$E25*'Non-Residential TSM UC Adj'!O26</f>
        <v>25329.528040710007</v>
      </c>
      <c r="P26" s="23">
        <f>'Sch PA-T-1 Cust Fcst'!$E25*'Non-Residential TSM UC Adj'!P26</f>
        <v>1731.3517005829883</v>
      </c>
      <c r="Q26" s="45">
        <f>IF(SUM(N26:P26)=0,0,SUM(N26:P26)/'Sch PA-T-1 Cust Fcst'!E25)</f>
        <v>53220.044725495594</v>
      </c>
      <c r="R26" s="137">
        <f t="shared" si="0"/>
        <v>79379.209709698189</v>
      </c>
      <c r="S26" s="23">
        <f t="shared" si="1"/>
        <v>25329.528040710007</v>
      </c>
      <c r="T26" s="23">
        <f t="shared" si="2"/>
        <v>1731.3517005829883</v>
      </c>
      <c r="U26" s="45">
        <f>IF(SUM(R26:T26)=0,0,SUM(R26:T26)/'Sch PA-T-1 Cust Fcst'!F25)</f>
        <v>53220.044725495594</v>
      </c>
      <c r="V26" s="37">
        <f>'Sch PA-T-1 Cust Fcst'!$G25*'Non-Residential TSM UC Adj'!R26</f>
        <v>0</v>
      </c>
      <c r="W26" s="23">
        <f>'Sch PA-T-1 Cust Fcst'!$G25*'Non-Residential TSM UC Adj'!S26</f>
        <v>0</v>
      </c>
      <c r="X26" s="23">
        <f>'Sch PA-T-1 Cust Fcst'!$G25*'Non-Residential TSM UC Adj'!T26</f>
        <v>0</v>
      </c>
      <c r="Y26" s="45">
        <f>IF(SUM(V26:X26)=0,0,SUM(V26:X26)/'Sch PA-T-1 Cust Fcst'!G25)</f>
        <v>0</v>
      </c>
      <c r="Z26" s="23">
        <f t="shared" si="3"/>
        <v>79379.209709698189</v>
      </c>
      <c r="AA26" s="23">
        <f t="shared" si="4"/>
        <v>25329.528040710007</v>
      </c>
      <c r="AB26" s="23">
        <f t="shared" si="5"/>
        <v>1731.3517005829883</v>
      </c>
      <c r="AC26" s="45">
        <f>IF(SUM(Z26:AB26)=0,0,SUM(Z26:AB26)/'Sch PA-T-1 Cust Fcst'!H25)</f>
        <v>53220.044725495594</v>
      </c>
    </row>
    <row r="27" spans="1:29">
      <c r="A27" s="155" t="s">
        <v>19</v>
      </c>
      <c r="B27" s="137">
        <f>'Sch PA-T-1 Cust Fcst'!$B26*'Non-Residential TSM UC Adj'!B27</f>
        <v>0</v>
      </c>
      <c r="C27" s="23">
        <f>'Sch PA-T-1 Cust Fcst'!$B26*'Non-Residential TSM UC Adj'!C27</f>
        <v>0</v>
      </c>
      <c r="D27" s="23">
        <f>'Sch PA-T-1 Cust Fcst'!$B26*'Non-Residential TSM UC Adj'!D27</f>
        <v>0</v>
      </c>
      <c r="E27" s="45">
        <f>IF(SUM(B27:D27)=0,0,SUM(B27:D27)/'Sch PA-T-1 Cust Fcst'!B26)</f>
        <v>0</v>
      </c>
      <c r="F27" s="137">
        <f>'Sch PA-T-1 Cust Fcst'!$C26*'Non-Residential TSM UC Adj'!J27</f>
        <v>0</v>
      </c>
      <c r="G27" s="23">
        <f>'Sch PA-T-1 Cust Fcst'!$C26*'Non-Residential TSM UC Adj'!K27</f>
        <v>0</v>
      </c>
      <c r="H27" s="23">
        <f>'Sch PA-T-1 Cust Fcst'!$C26*'Non-Residential TSM UC Adj'!L27</f>
        <v>0</v>
      </c>
      <c r="I27" s="45">
        <f>IF(SUM(F27:H27)=0,0,SUM(F27:H27)/'Sch PA-T-1 Cust Fcst'!C26)</f>
        <v>0</v>
      </c>
      <c r="J27" s="137">
        <f>'Sch PA-T-1 Cust Fcst'!$D26*'Non-Residential TSM UC Adj'!J27</f>
        <v>0</v>
      </c>
      <c r="K27" s="23">
        <f>'Sch PA-T-1 Cust Fcst'!$D26*'Non-Residential TSM UC Adj'!K27</f>
        <v>0</v>
      </c>
      <c r="L27" s="23">
        <f>'Sch PA-T-1 Cust Fcst'!$D26*'Non-Residential TSM UC Adj'!L27</f>
        <v>0</v>
      </c>
      <c r="M27" s="45">
        <f>IF(SUM(J27:L27)=0,0,SUM(J27:L27)/'Sch PA-T-1 Cust Fcst'!D26)</f>
        <v>0</v>
      </c>
      <c r="N27" s="137">
        <f>'Sch PA-T-1 Cust Fcst'!$E26*'Non-Residential TSM UC Adj'!N27</f>
        <v>0</v>
      </c>
      <c r="O27" s="23">
        <f>'Sch PA-T-1 Cust Fcst'!$E26*'Non-Residential TSM UC Adj'!O27</f>
        <v>0</v>
      </c>
      <c r="P27" s="23">
        <f>'Sch PA-T-1 Cust Fcst'!$E26*'Non-Residential TSM UC Adj'!P27</f>
        <v>0</v>
      </c>
      <c r="Q27" s="45">
        <f>IF(SUM(N27:P27)=0,0,SUM(N27:P27)/'Sch PA-T-1 Cust Fcst'!E26)</f>
        <v>0</v>
      </c>
      <c r="R27" s="137">
        <f t="shared" si="0"/>
        <v>0</v>
      </c>
      <c r="S27" s="23">
        <f t="shared" si="1"/>
        <v>0</v>
      </c>
      <c r="T27" s="23">
        <f t="shared" si="2"/>
        <v>0</v>
      </c>
      <c r="U27" s="45">
        <f>IF(SUM(R27:T27)=0,0,SUM(R27:T27)/'Sch PA-T-1 Cust Fcst'!F26)</f>
        <v>0</v>
      </c>
      <c r="V27" s="37">
        <f>'Sch PA-T-1 Cust Fcst'!$G26*'Non-Residential TSM UC Adj'!R27</f>
        <v>0</v>
      </c>
      <c r="W27" s="23">
        <f>'Sch PA-T-1 Cust Fcst'!$G26*'Non-Residential TSM UC Adj'!S27</f>
        <v>3129.9273129422195</v>
      </c>
      <c r="X27" s="23">
        <f>'Sch PA-T-1 Cust Fcst'!$G26*'Non-Residential TSM UC Adj'!T27</f>
        <v>967.82163835260417</v>
      </c>
      <c r="Y27" s="45">
        <f>IF(SUM(V27:X27)=0,0,SUM(V27:X27)/'Sch PA-T-1 Cust Fcst'!G26)</f>
        <v>4097.7489512948232</v>
      </c>
      <c r="Z27" s="23">
        <f t="shared" si="3"/>
        <v>0</v>
      </c>
      <c r="AA27" s="23">
        <f t="shared" si="4"/>
        <v>3129.9273129422195</v>
      </c>
      <c r="AB27" s="23">
        <f t="shared" si="5"/>
        <v>967.82163835260417</v>
      </c>
      <c r="AC27" s="45">
        <f>IF(SUM(Z27:AB27)=0,0,SUM(Z27:AB27)/'Sch PA-T-1 Cust Fcst'!H26)</f>
        <v>4097.7489512948232</v>
      </c>
    </row>
    <row r="28" spans="1:29">
      <c r="A28" s="155" t="s">
        <v>20</v>
      </c>
      <c r="B28" s="137">
        <f>'Sch PA-T-1 Cust Fcst'!$B27*'Non-Residential TSM UC Adj'!B28</f>
        <v>0</v>
      </c>
      <c r="C28" s="23">
        <f>'Sch PA-T-1 Cust Fcst'!$B27*'Non-Residential TSM UC Adj'!C28</f>
        <v>0</v>
      </c>
      <c r="D28" s="23">
        <f>'Sch PA-T-1 Cust Fcst'!$B27*'Non-Residential TSM UC Adj'!D28</f>
        <v>0</v>
      </c>
      <c r="E28" s="45">
        <f>IF(SUM(B28:D28)=0,0,SUM(B28:D28)/'Sch PA-T-1 Cust Fcst'!B27)</f>
        <v>0</v>
      </c>
      <c r="F28" s="137">
        <f>'Sch PA-T-1 Cust Fcst'!$C27*'Non-Residential TSM UC Adj'!J28</f>
        <v>0</v>
      </c>
      <c r="G28" s="23">
        <f>'Sch PA-T-1 Cust Fcst'!$C27*'Non-Residential TSM UC Adj'!K28</f>
        <v>0</v>
      </c>
      <c r="H28" s="23">
        <f>'Sch PA-T-1 Cust Fcst'!$C27*'Non-Residential TSM UC Adj'!L28</f>
        <v>0</v>
      </c>
      <c r="I28" s="45">
        <f>IF(SUM(F28:H28)=0,0,SUM(F28:H28)/'Sch PA-T-1 Cust Fcst'!C27)</f>
        <v>0</v>
      </c>
      <c r="J28" s="137">
        <f>'Sch PA-T-1 Cust Fcst'!$D27*'Non-Residential TSM UC Adj'!J28</f>
        <v>0</v>
      </c>
      <c r="K28" s="23">
        <f>'Sch PA-T-1 Cust Fcst'!$D27*'Non-Residential TSM UC Adj'!K28</f>
        <v>0</v>
      </c>
      <c r="L28" s="23">
        <f>'Sch PA-T-1 Cust Fcst'!$D27*'Non-Residential TSM UC Adj'!L28</f>
        <v>0</v>
      </c>
      <c r="M28" s="45">
        <f>IF(SUM(J28:L28)=0,0,SUM(J28:L28)/'Sch PA-T-1 Cust Fcst'!D27)</f>
        <v>0</v>
      </c>
      <c r="N28" s="137">
        <f>'Sch PA-T-1 Cust Fcst'!$E27*'Non-Residential TSM UC Adj'!N28</f>
        <v>0</v>
      </c>
      <c r="O28" s="23">
        <f>'Sch PA-T-1 Cust Fcst'!$E27*'Non-Residential TSM UC Adj'!O28</f>
        <v>0</v>
      </c>
      <c r="P28" s="23">
        <f>'Sch PA-T-1 Cust Fcst'!$E27*'Non-Residential TSM UC Adj'!P28</f>
        <v>0</v>
      </c>
      <c r="Q28" s="45">
        <f>IF(SUM(N28:P28)=0,0,SUM(N28:P28)/'Sch PA-T-1 Cust Fcst'!E27)</f>
        <v>0</v>
      </c>
      <c r="R28" s="137">
        <f t="shared" si="0"/>
        <v>0</v>
      </c>
      <c r="S28" s="23">
        <f t="shared" si="1"/>
        <v>0</v>
      </c>
      <c r="T28" s="23">
        <f t="shared" si="2"/>
        <v>0</v>
      </c>
      <c r="U28" s="45">
        <f>IF(SUM(R28:T28)=0,0,SUM(R28:T28)/'Sch PA-T-1 Cust Fcst'!F27)</f>
        <v>0</v>
      </c>
      <c r="V28" s="37">
        <f>'Sch PA-T-1 Cust Fcst'!$G27*'Non-Residential TSM UC Adj'!R28</f>
        <v>0</v>
      </c>
      <c r="W28" s="23">
        <f>'Sch PA-T-1 Cust Fcst'!$G27*'Non-Residential TSM UC Adj'!S28</f>
        <v>9389.781938826658</v>
      </c>
      <c r="X28" s="23">
        <f>'Sch PA-T-1 Cust Fcst'!$G27*'Non-Residential TSM UC Adj'!T28</f>
        <v>2903.4649150578125</v>
      </c>
      <c r="Y28" s="45">
        <f>IF(SUM(V28:X28)=0,0,SUM(V28:X28)/'Sch PA-T-1 Cust Fcst'!G27)</f>
        <v>4097.7489512948232</v>
      </c>
      <c r="Z28" s="23">
        <f t="shared" si="3"/>
        <v>0</v>
      </c>
      <c r="AA28" s="23">
        <f t="shared" si="4"/>
        <v>9389.781938826658</v>
      </c>
      <c r="AB28" s="23">
        <f t="shared" si="5"/>
        <v>2903.4649150578125</v>
      </c>
      <c r="AC28" s="45">
        <f>IF(SUM(Z28:AB28)=0,0,SUM(Z28:AB28)/'Sch PA-T-1 Cust Fcst'!H27)</f>
        <v>4097.7489512948232</v>
      </c>
    </row>
    <row r="29" spans="1:29">
      <c r="A29" s="155" t="s">
        <v>21</v>
      </c>
      <c r="B29" s="137">
        <f>'Sch PA-T-1 Cust Fcst'!$B28*'Non-Residential TSM UC Adj'!B29</f>
        <v>0</v>
      </c>
      <c r="C29" s="23">
        <f>'Sch PA-T-1 Cust Fcst'!$B28*'Non-Residential TSM UC Adj'!C29</f>
        <v>0</v>
      </c>
      <c r="D29" s="23">
        <f>'Sch PA-T-1 Cust Fcst'!$B28*'Non-Residential TSM UC Adj'!D29</f>
        <v>0</v>
      </c>
      <c r="E29" s="45">
        <f>IF(SUM(B29:D29)=0,0,SUM(B29:D29)/'Sch PA-T-1 Cust Fcst'!B28)</f>
        <v>0</v>
      </c>
      <c r="F29" s="137">
        <f>'Sch PA-T-1 Cust Fcst'!$C28*'Non-Residential TSM UC Adj'!J29</f>
        <v>0</v>
      </c>
      <c r="G29" s="23">
        <f>'Sch PA-T-1 Cust Fcst'!$C28*'Non-Residential TSM UC Adj'!K29</f>
        <v>0</v>
      </c>
      <c r="H29" s="23">
        <f>'Sch PA-T-1 Cust Fcst'!$C28*'Non-Residential TSM UC Adj'!L29</f>
        <v>0</v>
      </c>
      <c r="I29" s="45">
        <f>IF(SUM(F29:H29)=0,0,SUM(F29:H29)/'Sch PA-T-1 Cust Fcst'!C28)</f>
        <v>0</v>
      </c>
      <c r="J29" s="137">
        <f>'Sch PA-T-1 Cust Fcst'!$D28*'Non-Residential TSM UC Adj'!J29</f>
        <v>0</v>
      </c>
      <c r="K29" s="23">
        <f>'Sch PA-T-1 Cust Fcst'!$D28*'Non-Residential TSM UC Adj'!K29</f>
        <v>0</v>
      </c>
      <c r="L29" s="23">
        <f>'Sch PA-T-1 Cust Fcst'!$D28*'Non-Residential TSM UC Adj'!L29</f>
        <v>0</v>
      </c>
      <c r="M29" s="45">
        <f>IF(SUM(J29:L29)=0,0,SUM(J29:L29)/'Sch PA-T-1 Cust Fcst'!D28)</f>
        <v>0</v>
      </c>
      <c r="N29" s="137">
        <f>'Sch PA-T-1 Cust Fcst'!$E28*'Non-Residential TSM UC Adj'!N29</f>
        <v>0</v>
      </c>
      <c r="O29" s="23">
        <f>'Sch PA-T-1 Cust Fcst'!$E28*'Non-Residential TSM UC Adj'!O29</f>
        <v>0</v>
      </c>
      <c r="P29" s="23">
        <f>'Sch PA-T-1 Cust Fcst'!$E28*'Non-Residential TSM UC Adj'!P29</f>
        <v>0</v>
      </c>
      <c r="Q29" s="45">
        <f>IF(SUM(N29:P29)=0,0,SUM(N29:P29)/'Sch PA-T-1 Cust Fcst'!E28)</f>
        <v>0</v>
      </c>
      <c r="R29" s="137">
        <f t="shared" si="0"/>
        <v>0</v>
      </c>
      <c r="S29" s="23">
        <f t="shared" si="1"/>
        <v>0</v>
      </c>
      <c r="T29" s="23">
        <f t="shared" si="2"/>
        <v>0</v>
      </c>
      <c r="U29" s="45">
        <f>IF(SUM(R29:T29)=0,0,SUM(R29:T29)/'Sch PA-T-1 Cust Fcst'!F28)</f>
        <v>0</v>
      </c>
      <c r="V29" s="37">
        <f>'Sch PA-T-1 Cust Fcst'!$G28*'Non-Residential TSM UC Adj'!R29</f>
        <v>0</v>
      </c>
      <c r="W29" s="23">
        <f>'Sch PA-T-1 Cust Fcst'!$G28*'Non-Residential TSM UC Adj'!S29</f>
        <v>3129.9273129422195</v>
      </c>
      <c r="X29" s="23">
        <f>'Sch PA-T-1 Cust Fcst'!$G28*'Non-Residential TSM UC Adj'!T29</f>
        <v>967.82163835260417</v>
      </c>
      <c r="Y29" s="45">
        <f>IF(SUM(V29:X29)=0,0,SUM(V29:X29)/'Sch PA-T-1 Cust Fcst'!G28)</f>
        <v>4097.7489512948232</v>
      </c>
      <c r="Z29" s="23">
        <f t="shared" si="3"/>
        <v>0</v>
      </c>
      <c r="AA29" s="23">
        <f t="shared" si="4"/>
        <v>3129.9273129422195</v>
      </c>
      <c r="AB29" s="23">
        <f t="shared" si="5"/>
        <v>967.82163835260417</v>
      </c>
      <c r="AC29" s="45">
        <f>IF(SUM(Z29:AB29)=0,0,SUM(Z29:AB29)/'Sch PA-T-1 Cust Fcst'!H28)</f>
        <v>4097.7489512948232</v>
      </c>
    </row>
    <row r="30" spans="1:29">
      <c r="A30" s="155" t="s">
        <v>22</v>
      </c>
      <c r="B30" s="137">
        <f>'Sch PA-T-1 Cust Fcst'!$B29*'Non-Residential TSM UC Adj'!B30</f>
        <v>0</v>
      </c>
      <c r="C30" s="23">
        <f>'Sch PA-T-1 Cust Fcst'!$B29*'Non-Residential TSM UC Adj'!C30</f>
        <v>0</v>
      </c>
      <c r="D30" s="23">
        <f>'Sch PA-T-1 Cust Fcst'!$B29*'Non-Residential TSM UC Adj'!D30</f>
        <v>0</v>
      </c>
      <c r="E30" s="45">
        <f>IF(SUM(B30:D30)=0,0,SUM(B30:D30)/'Sch PA-T-1 Cust Fcst'!B29)</f>
        <v>0</v>
      </c>
      <c r="F30" s="137">
        <f>'Sch PA-T-1 Cust Fcst'!$C29*'Non-Residential TSM UC Adj'!J30</f>
        <v>0</v>
      </c>
      <c r="G30" s="23">
        <f>'Sch PA-T-1 Cust Fcst'!$C29*'Non-Residential TSM UC Adj'!K30</f>
        <v>0</v>
      </c>
      <c r="H30" s="23">
        <f>'Sch PA-T-1 Cust Fcst'!$C29*'Non-Residential TSM UC Adj'!L30</f>
        <v>0</v>
      </c>
      <c r="I30" s="45">
        <f>IF(SUM(F30:H30)=0,0,SUM(F30:H30)/'Sch PA-T-1 Cust Fcst'!C29)</f>
        <v>0</v>
      </c>
      <c r="J30" s="137">
        <f>'Sch PA-T-1 Cust Fcst'!$D29*'Non-Residential TSM UC Adj'!J30</f>
        <v>0</v>
      </c>
      <c r="K30" s="23">
        <f>'Sch PA-T-1 Cust Fcst'!$D29*'Non-Residential TSM UC Adj'!K30</f>
        <v>0</v>
      </c>
      <c r="L30" s="23">
        <f>'Sch PA-T-1 Cust Fcst'!$D29*'Non-Residential TSM UC Adj'!L30</f>
        <v>0</v>
      </c>
      <c r="M30" s="45">
        <f>IF(SUM(J30:L30)=0,0,SUM(J30:L30)/'Sch PA-T-1 Cust Fcst'!D29)</f>
        <v>0</v>
      </c>
      <c r="N30" s="137">
        <f>'Sch PA-T-1 Cust Fcst'!$E29*'Non-Residential TSM UC Adj'!N30</f>
        <v>0</v>
      </c>
      <c r="O30" s="23">
        <f>'Sch PA-T-1 Cust Fcst'!$E29*'Non-Residential TSM UC Adj'!O30</f>
        <v>0</v>
      </c>
      <c r="P30" s="23">
        <f>'Sch PA-T-1 Cust Fcst'!$E29*'Non-Residential TSM UC Adj'!P30</f>
        <v>0</v>
      </c>
      <c r="Q30" s="45">
        <f>IF(SUM(N30:P30)=0,0,SUM(N30:P30)/'Sch PA-T-1 Cust Fcst'!E29)</f>
        <v>0</v>
      </c>
      <c r="R30" s="137">
        <f t="shared" si="0"/>
        <v>0</v>
      </c>
      <c r="S30" s="23">
        <f t="shared" si="1"/>
        <v>0</v>
      </c>
      <c r="T30" s="23">
        <f t="shared" si="2"/>
        <v>0</v>
      </c>
      <c r="U30" s="45">
        <f>IF(SUM(R30:T30)=0,0,SUM(R30:T30)/'Sch PA-T-1 Cust Fcst'!F29)</f>
        <v>0</v>
      </c>
      <c r="V30" s="37">
        <f>'Sch PA-T-1 Cust Fcst'!$G29*'Non-Residential TSM UC Adj'!R30</f>
        <v>0</v>
      </c>
      <c r="W30" s="23">
        <f>'Sch PA-T-1 Cust Fcst'!$G29*'Non-Residential TSM UC Adj'!S30</f>
        <v>3129.9273129422195</v>
      </c>
      <c r="X30" s="23">
        <f>'Sch PA-T-1 Cust Fcst'!$G29*'Non-Residential TSM UC Adj'!T30</f>
        <v>967.82163835260417</v>
      </c>
      <c r="Y30" s="45">
        <f>IF(SUM(V30:X30)=0,0,SUM(V30:X30)/'Sch PA-T-1 Cust Fcst'!G29)</f>
        <v>4097.7489512948232</v>
      </c>
      <c r="Z30" s="23">
        <f t="shared" si="3"/>
        <v>0</v>
      </c>
      <c r="AA30" s="23">
        <f t="shared" si="4"/>
        <v>3129.9273129422195</v>
      </c>
      <c r="AB30" s="23">
        <f t="shared" si="5"/>
        <v>967.82163835260417</v>
      </c>
      <c r="AC30" s="45">
        <f>IF(SUM(Z30:AB30)=0,0,SUM(Z30:AB30)/'Sch PA-T-1 Cust Fcst'!H29)</f>
        <v>4097.7489512948232</v>
      </c>
    </row>
    <row r="31" spans="1:29">
      <c r="A31" s="153" t="s">
        <v>23</v>
      </c>
      <c r="B31" s="137">
        <f>'Sch PA-T-1 Cust Fcst'!$B30*'Non-Residential TSM UC Adj'!B31</f>
        <v>0</v>
      </c>
      <c r="C31" s="23">
        <f>'Sch PA-T-1 Cust Fcst'!$B30*'Non-Residential TSM UC Adj'!C31</f>
        <v>0</v>
      </c>
      <c r="D31" s="23">
        <f>'Sch PA-T-1 Cust Fcst'!$B30*'Non-Residential TSM UC Adj'!D31</f>
        <v>0</v>
      </c>
      <c r="E31" s="45">
        <f>IF(SUM(B31:D31)=0,0,SUM(B31:D31)/'Sch PA-T-1 Cust Fcst'!B30)</f>
        <v>0</v>
      </c>
      <c r="F31" s="137">
        <f>'Sch PA-T-1 Cust Fcst'!$C30*'Non-Residential TSM UC Adj'!J31</f>
        <v>0</v>
      </c>
      <c r="G31" s="23">
        <f>'Sch PA-T-1 Cust Fcst'!$C30*'Non-Residential TSM UC Adj'!K31</f>
        <v>0</v>
      </c>
      <c r="H31" s="23">
        <f>'Sch PA-T-1 Cust Fcst'!$C30*'Non-Residential TSM UC Adj'!L31</f>
        <v>0</v>
      </c>
      <c r="I31" s="45">
        <f>IF(SUM(F31:H31)=0,0,SUM(F31:H31)/'Sch PA-T-1 Cust Fcst'!C30)</f>
        <v>0</v>
      </c>
      <c r="J31" s="137">
        <f>'Sch PA-T-1 Cust Fcst'!$D30*'Non-Residential TSM UC Adj'!J31</f>
        <v>0</v>
      </c>
      <c r="K31" s="23">
        <f>'Sch PA-T-1 Cust Fcst'!$D30*'Non-Residential TSM UC Adj'!K31</f>
        <v>0</v>
      </c>
      <c r="L31" s="23">
        <f>'Sch PA-T-1 Cust Fcst'!$D30*'Non-Residential TSM UC Adj'!L31</f>
        <v>0</v>
      </c>
      <c r="M31" s="45">
        <f>IF(SUM(J31:L31)=0,0,SUM(J31:L31)/'Sch PA-T-1 Cust Fcst'!D30)</f>
        <v>0</v>
      </c>
      <c r="N31" s="137">
        <f>'Sch PA-T-1 Cust Fcst'!$E30*'Non-Residential TSM UC Adj'!N31</f>
        <v>0</v>
      </c>
      <c r="O31" s="23">
        <f>'Sch PA-T-1 Cust Fcst'!$E30*'Non-Residential TSM UC Adj'!O31</f>
        <v>0</v>
      </c>
      <c r="P31" s="23">
        <f>'Sch PA-T-1 Cust Fcst'!$E30*'Non-Residential TSM UC Adj'!P31</f>
        <v>0</v>
      </c>
      <c r="Q31" s="45">
        <f>IF(SUM(N31:P31)=0,0,SUM(N31:P31)/'Sch PA-T-1 Cust Fcst'!E30)</f>
        <v>0</v>
      </c>
      <c r="R31" s="137">
        <f t="shared" si="0"/>
        <v>0</v>
      </c>
      <c r="S31" s="23">
        <f t="shared" si="1"/>
        <v>0</v>
      </c>
      <c r="T31" s="23">
        <f t="shared" si="2"/>
        <v>0</v>
      </c>
      <c r="U31" s="45">
        <f>IF(SUM(R31:T31)=0,0,SUM(R31:T31)/'Sch PA-T-1 Cust Fcst'!F30)</f>
        <v>0</v>
      </c>
      <c r="V31" s="37">
        <f>'Sch PA-T-1 Cust Fcst'!$G30*'Non-Residential TSM UC Adj'!R31</f>
        <v>0</v>
      </c>
      <c r="W31" s="23">
        <f>'Sch PA-T-1 Cust Fcst'!$G30*'Non-Residential TSM UC Adj'!S31</f>
        <v>15545.857171199868</v>
      </c>
      <c r="X31" s="23">
        <f>'Sch PA-T-1 Cust Fcst'!$G30*'Non-Residential TSM UC Adj'!T31</f>
        <v>1935.6432767052083</v>
      </c>
      <c r="Y31" s="45">
        <f>IF(SUM(V31:X31)=0,0,SUM(V31:X31)/'Sch PA-T-1 Cust Fcst'!G30)</f>
        <v>8740.7502239525384</v>
      </c>
      <c r="Z31" s="23">
        <f t="shared" si="3"/>
        <v>0</v>
      </c>
      <c r="AA31" s="23">
        <f t="shared" si="4"/>
        <v>15545.857171199868</v>
      </c>
      <c r="AB31" s="23">
        <f t="shared" si="5"/>
        <v>1935.6432767052083</v>
      </c>
      <c r="AC31" s="45">
        <f>IF(SUM(Z31:AB31)=0,0,SUM(Z31:AB31)/'Sch PA-T-1 Cust Fcst'!H30)</f>
        <v>8740.7502239525384</v>
      </c>
    </row>
    <row r="32" spans="1:29">
      <c r="A32" s="153" t="s">
        <v>24</v>
      </c>
      <c r="B32" s="137">
        <f>'Sch PA-T-1 Cust Fcst'!$B31*'Non-Residential TSM UC Adj'!B32</f>
        <v>0</v>
      </c>
      <c r="C32" s="23">
        <f>'Sch PA-T-1 Cust Fcst'!$B31*'Non-Residential TSM UC Adj'!C32</f>
        <v>0</v>
      </c>
      <c r="D32" s="23">
        <f>'Sch PA-T-1 Cust Fcst'!$B31*'Non-Residential TSM UC Adj'!D32</f>
        <v>0</v>
      </c>
      <c r="E32" s="45">
        <f>IF(SUM(B32:D32)=0,0,SUM(B32:D32)/'Sch PA-T-1 Cust Fcst'!B31)</f>
        <v>0</v>
      </c>
      <c r="F32" s="137">
        <f>'Sch PA-T-1 Cust Fcst'!$C31*'Non-Residential TSM UC Adj'!J32</f>
        <v>0</v>
      </c>
      <c r="G32" s="23">
        <f>'Sch PA-T-1 Cust Fcst'!$C31*'Non-Residential TSM UC Adj'!K32</f>
        <v>0</v>
      </c>
      <c r="H32" s="23">
        <f>'Sch PA-T-1 Cust Fcst'!$C31*'Non-Residential TSM UC Adj'!L32</f>
        <v>0</v>
      </c>
      <c r="I32" s="45">
        <f>IF(SUM(F32:H32)=0,0,SUM(F32:H32)/'Sch PA-T-1 Cust Fcst'!C31)</f>
        <v>0</v>
      </c>
      <c r="J32" s="137">
        <f>'Sch PA-T-1 Cust Fcst'!$D31*'Non-Residential TSM UC Adj'!J32</f>
        <v>0</v>
      </c>
      <c r="K32" s="23">
        <f>'Sch PA-T-1 Cust Fcst'!$D31*'Non-Residential TSM UC Adj'!K32</f>
        <v>0</v>
      </c>
      <c r="L32" s="23">
        <f>'Sch PA-T-1 Cust Fcst'!$D31*'Non-Residential TSM UC Adj'!L32</f>
        <v>0</v>
      </c>
      <c r="M32" s="45">
        <f>IF(SUM(J32:L32)=0,0,SUM(J32:L32)/'Sch PA-T-1 Cust Fcst'!D31)</f>
        <v>0</v>
      </c>
      <c r="N32" s="137">
        <f>'Sch PA-T-1 Cust Fcst'!$E31*'Non-Residential TSM UC Adj'!N32</f>
        <v>0</v>
      </c>
      <c r="O32" s="23">
        <f>'Sch PA-T-1 Cust Fcst'!$E31*'Non-Residential TSM UC Adj'!O32</f>
        <v>0</v>
      </c>
      <c r="P32" s="23">
        <f>'Sch PA-T-1 Cust Fcst'!$E31*'Non-Residential TSM UC Adj'!P32</f>
        <v>0</v>
      </c>
      <c r="Q32" s="45">
        <f>IF(SUM(N32:P32)=0,0,SUM(N32:P32)/'Sch PA-T-1 Cust Fcst'!E31)</f>
        <v>0</v>
      </c>
      <c r="R32" s="137">
        <f t="shared" si="0"/>
        <v>0</v>
      </c>
      <c r="S32" s="23">
        <f t="shared" si="1"/>
        <v>0</v>
      </c>
      <c r="T32" s="23">
        <f t="shared" si="2"/>
        <v>0</v>
      </c>
      <c r="U32" s="45">
        <f>IF(SUM(R32:T32)=0,0,SUM(R32:T32)/'Sch PA-T-1 Cust Fcst'!F31)</f>
        <v>0</v>
      </c>
      <c r="V32" s="37">
        <f>'Sch PA-T-1 Cust Fcst'!$G31*'Non-Residential TSM UC Adj'!R32</f>
        <v>0</v>
      </c>
      <c r="W32" s="23">
        <f>'Sch PA-T-1 Cust Fcst'!$G31*'Non-Residential TSM UC Adj'!S32</f>
        <v>15545.857171199868</v>
      </c>
      <c r="X32" s="23">
        <f>'Sch PA-T-1 Cust Fcst'!$G31*'Non-Residential TSM UC Adj'!T32</f>
        <v>1935.6432767052083</v>
      </c>
      <c r="Y32" s="45">
        <f>IF(SUM(V32:X32)=0,0,SUM(V32:X32)/'Sch PA-T-1 Cust Fcst'!G31)</f>
        <v>8740.7502239525384</v>
      </c>
      <c r="Z32" s="23">
        <f t="shared" si="3"/>
        <v>0</v>
      </c>
      <c r="AA32" s="23">
        <f t="shared" si="4"/>
        <v>15545.857171199868</v>
      </c>
      <c r="AB32" s="23">
        <f t="shared" si="5"/>
        <v>1935.6432767052083</v>
      </c>
      <c r="AC32" s="45">
        <f>IF(SUM(Z32:AB32)=0,0,SUM(Z32:AB32)/'Sch PA-T-1 Cust Fcst'!H31)</f>
        <v>8740.7502239525384</v>
      </c>
    </row>
    <row r="33" spans="1:29">
      <c r="A33" s="153" t="s">
        <v>25</v>
      </c>
      <c r="B33" s="137">
        <f>'Sch PA-T-1 Cust Fcst'!$B32*'Non-Residential TSM UC Adj'!B33</f>
        <v>0</v>
      </c>
      <c r="C33" s="23">
        <f>'Sch PA-T-1 Cust Fcst'!$B32*'Non-Residential TSM UC Adj'!C33</f>
        <v>0</v>
      </c>
      <c r="D33" s="23">
        <f>'Sch PA-T-1 Cust Fcst'!$B32*'Non-Residential TSM UC Adj'!D33</f>
        <v>0</v>
      </c>
      <c r="E33" s="45">
        <f>IF(SUM(B33:D33)=0,0,SUM(B33:D33)/'Sch PA-T-1 Cust Fcst'!B32)</f>
        <v>0</v>
      </c>
      <c r="F33" s="137">
        <f>'Sch PA-T-1 Cust Fcst'!$C32*'Non-Residential TSM UC Adj'!J33</f>
        <v>0</v>
      </c>
      <c r="G33" s="23">
        <f>'Sch PA-T-1 Cust Fcst'!$C32*'Non-Residential TSM UC Adj'!K33</f>
        <v>0</v>
      </c>
      <c r="H33" s="23">
        <f>'Sch PA-T-1 Cust Fcst'!$C32*'Non-Residential TSM UC Adj'!L33</f>
        <v>0</v>
      </c>
      <c r="I33" s="45">
        <f>IF(SUM(F33:H33)=0,0,SUM(F33:H33)/'Sch PA-T-1 Cust Fcst'!C32)</f>
        <v>0</v>
      </c>
      <c r="J33" s="137">
        <f>'Sch PA-T-1 Cust Fcst'!$D32*'Non-Residential TSM UC Adj'!J33</f>
        <v>0</v>
      </c>
      <c r="K33" s="23">
        <f>'Sch PA-T-1 Cust Fcst'!$D32*'Non-Residential TSM UC Adj'!K33</f>
        <v>0</v>
      </c>
      <c r="L33" s="23">
        <f>'Sch PA-T-1 Cust Fcst'!$D32*'Non-Residential TSM UC Adj'!L33</f>
        <v>0</v>
      </c>
      <c r="M33" s="45">
        <f>IF(SUM(J33:L33)=0,0,SUM(J33:L33)/'Sch PA-T-1 Cust Fcst'!D32)</f>
        <v>0</v>
      </c>
      <c r="N33" s="137">
        <f>'Sch PA-T-1 Cust Fcst'!$E32*'Non-Residential TSM UC Adj'!N33</f>
        <v>0</v>
      </c>
      <c r="O33" s="23">
        <f>'Sch PA-T-1 Cust Fcst'!$E32*'Non-Residential TSM UC Adj'!O33</f>
        <v>0</v>
      </c>
      <c r="P33" s="23">
        <f>'Sch PA-T-1 Cust Fcst'!$E32*'Non-Residential TSM UC Adj'!P33</f>
        <v>0</v>
      </c>
      <c r="Q33" s="45">
        <f>IF(SUM(N33:P33)=0,0,SUM(N33:P33)/'Sch PA-T-1 Cust Fcst'!E32)</f>
        <v>0</v>
      </c>
      <c r="R33" s="137">
        <f t="shared" si="0"/>
        <v>0</v>
      </c>
      <c r="S33" s="23">
        <f t="shared" si="1"/>
        <v>0</v>
      </c>
      <c r="T33" s="23">
        <f t="shared" si="2"/>
        <v>0</v>
      </c>
      <c r="U33" s="45">
        <f>IF(SUM(R33:T33)=0,0,SUM(R33:T33)/'Sch PA-T-1 Cust Fcst'!F32)</f>
        <v>0</v>
      </c>
      <c r="V33" s="37">
        <f>'Sch PA-T-1 Cust Fcst'!$G32*'Non-Residential TSM UC Adj'!R33</f>
        <v>0</v>
      </c>
      <c r="W33" s="37">
        <f>'Sch PA-T-1 Cust Fcst'!$G32*'Non-Residential TSM UC Adj'!S33</f>
        <v>0</v>
      </c>
      <c r="X33" s="37">
        <f>'Sch PA-T-1 Cust Fcst'!$G32*'Non-Residential TSM UC Adj'!T33</f>
        <v>0</v>
      </c>
      <c r="Y33" s="45">
        <f>IF(SUM(V33:X33)=0,0,SUM(V33:X33)/'Sch PA-T-1 Cust Fcst'!G32)</f>
        <v>0</v>
      </c>
      <c r="Z33" s="23">
        <f t="shared" si="3"/>
        <v>0</v>
      </c>
      <c r="AA33" s="23">
        <f t="shared" si="4"/>
        <v>0</v>
      </c>
      <c r="AB33" s="23">
        <f t="shared" si="5"/>
        <v>0</v>
      </c>
      <c r="AC33" s="45">
        <f>IF(SUM(Z33:AB33)=0,0,SUM(Z33:AB33)/'Sch PA-T-1 Cust Fcst'!H32)</f>
        <v>0</v>
      </c>
    </row>
    <row r="34" spans="1:29">
      <c r="A34" s="153" t="s">
        <v>125</v>
      </c>
      <c r="B34" s="137">
        <f>'Sch PA-T-1 Cust Fcst'!$B33*'Non-Residential TSM UC Adj'!B34</f>
        <v>0</v>
      </c>
      <c r="C34" s="23">
        <f>'Sch PA-T-1 Cust Fcst'!$B33*'Non-Residential TSM UC Adj'!C34</f>
        <v>0</v>
      </c>
      <c r="D34" s="23">
        <f>'Sch PA-T-1 Cust Fcst'!$B33*'Non-Residential TSM UC Adj'!D34</f>
        <v>0</v>
      </c>
      <c r="E34" s="45">
        <f>IF(SUM(B34:D34)=0,0,SUM(B34:D34)/'Sch PA-T-1 Cust Fcst'!B33)</f>
        <v>0</v>
      </c>
      <c r="F34" s="137">
        <f>'Sch PA-T-1 Cust Fcst'!$C33*'Non-Residential TSM UC Adj'!J34</f>
        <v>0</v>
      </c>
      <c r="G34" s="23">
        <f>'Sch PA-T-1 Cust Fcst'!$C33*'Non-Residential TSM UC Adj'!K34</f>
        <v>0</v>
      </c>
      <c r="H34" s="23">
        <f>'Sch PA-T-1 Cust Fcst'!$C33*'Non-Residential TSM UC Adj'!L34</f>
        <v>0</v>
      </c>
      <c r="I34" s="45">
        <f>IF(SUM(F34:H34)=0,0,SUM(F34:H34)/'Sch PA-T-1 Cust Fcst'!C33)</f>
        <v>0</v>
      </c>
      <c r="J34" s="137">
        <f>'Sch PA-T-1 Cust Fcst'!$D33*'Non-Residential TSM UC Adj'!J34</f>
        <v>0</v>
      </c>
      <c r="K34" s="23">
        <f>'Sch PA-T-1 Cust Fcst'!$D33*'Non-Residential TSM UC Adj'!K34</f>
        <v>0</v>
      </c>
      <c r="L34" s="23">
        <f>'Sch PA-T-1 Cust Fcst'!$D33*'Non-Residential TSM UC Adj'!L34</f>
        <v>0</v>
      </c>
      <c r="M34" s="45">
        <f>IF(SUM(J34:L34)=0,0,SUM(J34:L34)/'Sch PA-T-1 Cust Fcst'!D33)</f>
        <v>0</v>
      </c>
      <c r="N34" s="137">
        <f>'Sch PA-T-1 Cust Fcst'!$E33*'Non-Residential TSM UC Adj'!N34</f>
        <v>0</v>
      </c>
      <c r="O34" s="23">
        <f>'Sch PA-T-1 Cust Fcst'!$E33*'Non-Residential TSM UC Adj'!O34</f>
        <v>0</v>
      </c>
      <c r="P34" s="23">
        <f>'Sch PA-T-1 Cust Fcst'!$E33*'Non-Residential TSM UC Adj'!P34</f>
        <v>0</v>
      </c>
      <c r="Q34" s="45">
        <f>IF(SUM(N34:P34)=0,0,SUM(N34:P34)/'Sch PA-T-1 Cust Fcst'!E33)</f>
        <v>0</v>
      </c>
      <c r="R34" s="137">
        <f t="shared" si="0"/>
        <v>0</v>
      </c>
      <c r="S34" s="23">
        <f t="shared" si="1"/>
        <v>0</v>
      </c>
      <c r="T34" s="23">
        <f t="shared" si="2"/>
        <v>0</v>
      </c>
      <c r="U34" s="45">
        <f>IF(SUM(R34:T34)=0,0,SUM(R34:T34)/'Sch PA-T-1 Cust Fcst'!F33)</f>
        <v>0</v>
      </c>
      <c r="V34" s="37">
        <f>'Sch PA-T-1 Cust Fcst'!$G33*'Non-Residential TSM UC Adj'!R34</f>
        <v>0</v>
      </c>
      <c r="W34" s="37">
        <f>'Sch PA-T-1 Cust Fcst'!$G33*'Non-Residential TSM UC Adj'!S34</f>
        <v>0</v>
      </c>
      <c r="X34" s="37">
        <f>'Sch PA-T-1 Cust Fcst'!$G33*'Non-Residential TSM UC Adj'!T34</f>
        <v>0</v>
      </c>
      <c r="Y34" s="45">
        <f>IF(SUM(V34:X34)=0,0,SUM(V34:X34)/'Sch PA-T-1 Cust Fcst'!G33)</f>
        <v>0</v>
      </c>
      <c r="Z34" s="23">
        <f t="shared" si="3"/>
        <v>0</v>
      </c>
      <c r="AA34" s="23">
        <f t="shared" si="4"/>
        <v>0</v>
      </c>
      <c r="AB34" s="23">
        <f t="shared" si="5"/>
        <v>0</v>
      </c>
      <c r="AC34" s="45">
        <f>IF(SUM(Z34:AB34)=0,0,SUM(Z34:AB34)/'Sch PA-T-1 Cust Fcst'!H33)</f>
        <v>0</v>
      </c>
    </row>
    <row r="35" spans="1:29">
      <c r="A35" s="153" t="s">
        <v>126</v>
      </c>
      <c r="B35" s="137">
        <f>'Sch PA-T-1 Cust Fcst'!$B34*'Non-Residential TSM UC Adj'!B35</f>
        <v>0</v>
      </c>
      <c r="C35" s="23">
        <f>'Sch PA-T-1 Cust Fcst'!$B34*'Non-Residential TSM UC Adj'!C35</f>
        <v>0</v>
      </c>
      <c r="D35" s="23">
        <f>'Sch PA-T-1 Cust Fcst'!$B34*'Non-Residential TSM UC Adj'!D35</f>
        <v>0</v>
      </c>
      <c r="E35" s="45">
        <f>IF(SUM(B35:D35)=0,0,SUM(B35:D35)/'Sch PA-T-1 Cust Fcst'!B34)</f>
        <v>0</v>
      </c>
      <c r="F35" s="137">
        <f>'Sch PA-T-1 Cust Fcst'!$C34*'Non-Residential TSM UC Adj'!J35</f>
        <v>0</v>
      </c>
      <c r="G35" s="23">
        <f>'Sch PA-T-1 Cust Fcst'!$C34*'Non-Residential TSM UC Adj'!K35</f>
        <v>0</v>
      </c>
      <c r="H35" s="23">
        <f>'Sch PA-T-1 Cust Fcst'!$C34*'Non-Residential TSM UC Adj'!L35</f>
        <v>0</v>
      </c>
      <c r="I35" s="45">
        <f>IF(SUM(F35:H35)=0,0,SUM(F35:H35)/'Sch PA-T-1 Cust Fcst'!C34)</f>
        <v>0</v>
      </c>
      <c r="J35" s="137">
        <f>'Sch PA-T-1 Cust Fcst'!$D34*'Non-Residential TSM UC Adj'!J35</f>
        <v>0</v>
      </c>
      <c r="K35" s="23">
        <f>'Sch PA-T-1 Cust Fcst'!$D34*'Non-Residential TSM UC Adj'!K35</f>
        <v>0</v>
      </c>
      <c r="L35" s="23">
        <f>'Sch PA-T-1 Cust Fcst'!$D34*'Non-Residential TSM UC Adj'!L35</f>
        <v>0</v>
      </c>
      <c r="M35" s="45">
        <f>IF(SUM(J35:L35)=0,0,SUM(J35:L35)/'Sch PA-T-1 Cust Fcst'!D34)</f>
        <v>0</v>
      </c>
      <c r="N35" s="137">
        <f>'Sch PA-T-1 Cust Fcst'!$E34*'Non-Residential TSM UC Adj'!N35</f>
        <v>0</v>
      </c>
      <c r="O35" s="23">
        <f>'Sch PA-T-1 Cust Fcst'!$E34*'Non-Residential TSM UC Adj'!O35</f>
        <v>0</v>
      </c>
      <c r="P35" s="23">
        <f>'Sch PA-T-1 Cust Fcst'!$E34*'Non-Residential TSM UC Adj'!P35</f>
        <v>0</v>
      </c>
      <c r="Q35" s="45">
        <f>IF(SUM(N35:P35)=0,0,SUM(N35:P35)/'Sch PA-T-1 Cust Fcst'!E34)</f>
        <v>0</v>
      </c>
      <c r="R35" s="137">
        <f t="shared" si="0"/>
        <v>0</v>
      </c>
      <c r="S35" s="23">
        <f t="shared" si="1"/>
        <v>0</v>
      </c>
      <c r="T35" s="23">
        <f t="shared" si="2"/>
        <v>0</v>
      </c>
      <c r="U35" s="45">
        <f>IF(SUM(R35:T35)=0,0,SUM(R35:T35)/'Sch PA-T-1 Cust Fcst'!F34)</f>
        <v>0</v>
      </c>
      <c r="V35" s="37">
        <f>'Sch PA-T-1 Cust Fcst'!$G34*'Non-Residential TSM UC Adj'!R35</f>
        <v>0</v>
      </c>
      <c r="W35" s="37">
        <f>'Sch PA-T-1 Cust Fcst'!$G34*'Non-Residential TSM UC Adj'!S35</f>
        <v>0</v>
      </c>
      <c r="X35" s="37">
        <f>'Sch PA-T-1 Cust Fcst'!$G34*'Non-Residential TSM UC Adj'!T35</f>
        <v>0</v>
      </c>
      <c r="Y35" s="45">
        <f>IF(SUM(V35:X35)=0,0,SUM(V35:X35)/'Sch PA-T-1 Cust Fcst'!G34)</f>
        <v>0</v>
      </c>
      <c r="Z35" s="23">
        <f t="shared" si="3"/>
        <v>0</v>
      </c>
      <c r="AA35" s="23">
        <f t="shared" si="4"/>
        <v>0</v>
      </c>
      <c r="AB35" s="23">
        <f t="shared" si="5"/>
        <v>0</v>
      </c>
      <c r="AC35" s="45">
        <f>IF(SUM(Z35:AB35)=0,0,SUM(Z35:AB35)/'Sch PA-T-1 Cust Fcst'!H34)</f>
        <v>0</v>
      </c>
    </row>
    <row r="36" spans="1:29">
      <c r="A36" s="155" t="s">
        <v>26</v>
      </c>
      <c r="B36" s="137">
        <f>'Sch PA-T-1 Cust Fcst'!$B35*'Non-Residential TSM UC Adj'!B36</f>
        <v>0</v>
      </c>
      <c r="C36" s="23">
        <f>'Sch PA-T-1 Cust Fcst'!$B35*'Non-Residential TSM UC Adj'!C36</f>
        <v>0</v>
      </c>
      <c r="D36" s="23">
        <f>'Sch PA-T-1 Cust Fcst'!$B35*'Non-Residential TSM UC Adj'!D36</f>
        <v>0</v>
      </c>
      <c r="E36" s="45">
        <f>IF(SUM(B36:D36)=0,0,SUM(B36:D36)/'Sch PA-T-1 Cust Fcst'!B35)</f>
        <v>0</v>
      </c>
      <c r="F36" s="137">
        <f>'Sch PA-T-1 Cust Fcst'!$C35*'Non-Residential TSM UC Adj'!J36</f>
        <v>0</v>
      </c>
      <c r="G36" s="23">
        <f>'Sch PA-T-1 Cust Fcst'!$C35*'Non-Residential TSM UC Adj'!K36</f>
        <v>0</v>
      </c>
      <c r="H36" s="23">
        <f>'Sch PA-T-1 Cust Fcst'!$C35*'Non-Residential TSM UC Adj'!L36</f>
        <v>0</v>
      </c>
      <c r="I36" s="45">
        <f>IF(SUM(F36:H36)=0,0,SUM(F36:H36)/'Sch PA-T-1 Cust Fcst'!C35)</f>
        <v>0</v>
      </c>
      <c r="J36" s="137">
        <f>'Sch PA-T-1 Cust Fcst'!$D35*'Non-Residential TSM UC Adj'!J36</f>
        <v>0</v>
      </c>
      <c r="K36" s="23">
        <f>'Sch PA-T-1 Cust Fcst'!$D35*'Non-Residential TSM UC Adj'!K36</f>
        <v>0</v>
      </c>
      <c r="L36" s="23">
        <f>'Sch PA-T-1 Cust Fcst'!$D35*'Non-Residential TSM UC Adj'!L36</f>
        <v>0</v>
      </c>
      <c r="M36" s="45">
        <f>IF(SUM(J36:L36)=0,0,SUM(J36:L36)/'Sch PA-T-1 Cust Fcst'!D35)</f>
        <v>0</v>
      </c>
      <c r="N36" s="137">
        <f>'Sch PA-T-1 Cust Fcst'!$E35*'Non-Residential TSM UC Adj'!N36</f>
        <v>0</v>
      </c>
      <c r="O36" s="23">
        <f>'Sch PA-T-1 Cust Fcst'!$E35*'Non-Residential TSM UC Adj'!O36</f>
        <v>0</v>
      </c>
      <c r="P36" s="23">
        <f>'Sch PA-T-1 Cust Fcst'!$E35*'Non-Residential TSM UC Adj'!P36</f>
        <v>0</v>
      </c>
      <c r="Q36" s="45">
        <f>IF(SUM(N36:P36)=0,0,SUM(N36:P36)/'Sch PA-T-1 Cust Fcst'!E35)</f>
        <v>0</v>
      </c>
      <c r="R36" s="137">
        <f t="shared" si="0"/>
        <v>0</v>
      </c>
      <c r="S36" s="23">
        <f t="shared" si="1"/>
        <v>0</v>
      </c>
      <c r="T36" s="23">
        <f t="shared" si="2"/>
        <v>0</v>
      </c>
      <c r="U36" s="45">
        <f>IF(SUM(R36:T36)=0,0,SUM(R36:T36)/'Sch PA-T-1 Cust Fcst'!F35)</f>
        <v>0</v>
      </c>
      <c r="V36" s="37">
        <f>'Sch PA-T-1 Cust Fcst'!$G35*'Non-Residential TSM UC Adj'!R36</f>
        <v>0</v>
      </c>
      <c r="W36" s="37">
        <f>'Sch PA-T-1 Cust Fcst'!$G35*'Non-Residential TSM UC Adj'!S36</f>
        <v>0</v>
      </c>
      <c r="X36" s="37">
        <f>'Sch PA-T-1 Cust Fcst'!$G35*'Non-Residential TSM UC Adj'!T36</f>
        <v>0</v>
      </c>
      <c r="Y36" s="45">
        <f>IF(SUM(V36:X36)=0,0,SUM(V36:X36)/'Sch PA-T-1 Cust Fcst'!G35)</f>
        <v>0</v>
      </c>
      <c r="Z36" s="23">
        <f t="shared" si="3"/>
        <v>0</v>
      </c>
      <c r="AA36" s="23">
        <f t="shared" si="4"/>
        <v>0</v>
      </c>
      <c r="AB36" s="23">
        <f t="shared" si="5"/>
        <v>0</v>
      </c>
      <c r="AC36" s="45">
        <f>IF(SUM(Z36:AB36)=0,0,SUM(Z36:AB36)/'Sch PA-T-1 Cust Fcst'!H35)</f>
        <v>0</v>
      </c>
    </row>
    <row r="37" spans="1:29">
      <c r="A37" s="155" t="s">
        <v>27</v>
      </c>
      <c r="B37" s="137">
        <f>'Sch PA-T-1 Cust Fcst'!$B36*'Non-Residential TSM UC Adj'!B37</f>
        <v>0</v>
      </c>
      <c r="C37" s="23">
        <f>'Sch PA-T-1 Cust Fcst'!$B36*'Non-Residential TSM UC Adj'!C37</f>
        <v>0</v>
      </c>
      <c r="D37" s="23">
        <f>'Sch PA-T-1 Cust Fcst'!$B36*'Non-Residential TSM UC Adj'!D37</f>
        <v>0</v>
      </c>
      <c r="E37" s="45">
        <f>IF(SUM(B37:D37)=0,0,SUM(B37:D37)/'Sch PA-T-1 Cust Fcst'!B36)</f>
        <v>0</v>
      </c>
      <c r="F37" s="137">
        <f>'Sch PA-T-1 Cust Fcst'!$C36*'Non-Residential TSM UC Adj'!J37</f>
        <v>0</v>
      </c>
      <c r="G37" s="23">
        <f>'Sch PA-T-1 Cust Fcst'!$C36*'Non-Residential TSM UC Adj'!K37</f>
        <v>0</v>
      </c>
      <c r="H37" s="23">
        <f>'Sch PA-T-1 Cust Fcst'!$C36*'Non-Residential TSM UC Adj'!L37</f>
        <v>0</v>
      </c>
      <c r="I37" s="45">
        <f>IF(SUM(F37:H37)=0,0,SUM(F37:H37)/'Sch PA-T-1 Cust Fcst'!C36)</f>
        <v>0</v>
      </c>
      <c r="J37" s="137">
        <f>'Sch PA-T-1 Cust Fcst'!$D36*'Non-Residential TSM UC Adj'!J37</f>
        <v>0</v>
      </c>
      <c r="K37" s="23">
        <f>'Sch PA-T-1 Cust Fcst'!$D36*'Non-Residential TSM UC Adj'!K37</f>
        <v>0</v>
      </c>
      <c r="L37" s="23">
        <f>'Sch PA-T-1 Cust Fcst'!$D36*'Non-Residential TSM UC Adj'!L37</f>
        <v>0</v>
      </c>
      <c r="M37" s="45">
        <f>IF(SUM(J37:L37)=0,0,SUM(J37:L37)/'Sch PA-T-1 Cust Fcst'!D36)</f>
        <v>0</v>
      </c>
      <c r="N37" s="137">
        <f>'Sch PA-T-1 Cust Fcst'!$E36*'Non-Residential TSM UC Adj'!N37</f>
        <v>0</v>
      </c>
      <c r="O37" s="23">
        <f>'Sch PA-T-1 Cust Fcst'!$E36*'Non-Residential TSM UC Adj'!O37</f>
        <v>0</v>
      </c>
      <c r="P37" s="23">
        <f>'Sch PA-T-1 Cust Fcst'!$E36*'Non-Residential TSM UC Adj'!P37</f>
        <v>0</v>
      </c>
      <c r="Q37" s="45">
        <f>IF(SUM(N37:P37)=0,0,SUM(N37:P37)/'Sch PA-T-1 Cust Fcst'!E36)</f>
        <v>0</v>
      </c>
      <c r="R37" s="137">
        <f t="shared" si="0"/>
        <v>0</v>
      </c>
      <c r="S37" s="23">
        <f t="shared" si="1"/>
        <v>0</v>
      </c>
      <c r="T37" s="23">
        <f t="shared" si="2"/>
        <v>0</v>
      </c>
      <c r="U37" s="45">
        <f>IF(SUM(R37:T37)=0,0,SUM(R37:T37)/'Sch PA-T-1 Cust Fcst'!F36)</f>
        <v>0</v>
      </c>
      <c r="V37" s="37">
        <f>'Sch PA-T-1 Cust Fcst'!$G36*'Non-Residential TSM UC Adj'!R37</f>
        <v>0</v>
      </c>
      <c r="W37" s="37">
        <f>'Sch PA-T-1 Cust Fcst'!$G36*'Non-Residential TSM UC Adj'!S37</f>
        <v>0</v>
      </c>
      <c r="X37" s="37">
        <f>'Sch PA-T-1 Cust Fcst'!$G36*'Non-Residential TSM UC Adj'!T37</f>
        <v>0</v>
      </c>
      <c r="Y37" s="45">
        <f>IF(SUM(V37:X37)=0,0,SUM(V37:X37)/'Sch PA-T-1 Cust Fcst'!G36)</f>
        <v>0</v>
      </c>
      <c r="Z37" s="23">
        <f t="shared" si="3"/>
        <v>0</v>
      </c>
      <c r="AA37" s="23">
        <f t="shared" si="4"/>
        <v>0</v>
      </c>
      <c r="AB37" s="23">
        <f t="shared" si="5"/>
        <v>0</v>
      </c>
      <c r="AC37" s="45">
        <f>IF(SUM(Z37:AB37)=0,0,SUM(Z37:AB37)/'Sch PA-T-1 Cust Fcst'!H36)</f>
        <v>0</v>
      </c>
    </row>
    <row r="38" spans="1:29" ht="13.5" thickBot="1">
      <c r="A38" s="11"/>
      <c r="B38" s="137"/>
      <c r="C38" s="23"/>
      <c r="D38" s="23"/>
      <c r="E38" s="45"/>
      <c r="F38" s="137"/>
      <c r="G38" s="23"/>
      <c r="H38" s="23"/>
      <c r="I38" s="45"/>
      <c r="J38" s="137"/>
      <c r="K38" s="23"/>
      <c r="L38" s="23"/>
      <c r="M38" s="45"/>
      <c r="N38" s="137"/>
      <c r="O38" s="23"/>
      <c r="P38" s="23"/>
      <c r="Q38" s="45"/>
      <c r="R38" s="137"/>
      <c r="S38" s="23"/>
      <c r="T38" s="23"/>
      <c r="U38" s="45"/>
      <c r="V38" s="23"/>
      <c r="W38" s="23"/>
      <c r="X38" s="23"/>
      <c r="Y38" s="14"/>
      <c r="Z38" s="23"/>
      <c r="AA38" s="23"/>
      <c r="AB38" s="23"/>
      <c r="AC38" s="14"/>
    </row>
    <row r="39" spans="1:29" ht="13.5" thickBot="1">
      <c r="A39" s="280" t="s">
        <v>165</v>
      </c>
      <c r="B39" s="317">
        <f>IF(SUM(B$7:B$37)=0,0,SUM(B$7:B$37)/'Sch PA-T-1 Cust Fcst'!$B38)</f>
        <v>3128.9322075706677</v>
      </c>
      <c r="C39" s="318">
        <f>IF(SUM(C$7:C$37)=0,0,SUM(C$7:C$37)/'Sch PA-T-1 Cust Fcst'!$B38)</f>
        <v>375.18367009516476</v>
      </c>
      <c r="D39" s="318">
        <f>IF(SUM(D$7:D$37)=0,0,SUM(D$7:D$37)/'Sch PA-T-1 Cust Fcst'!$B38)</f>
        <v>234.2997315603759</v>
      </c>
      <c r="E39" s="319">
        <f>SUM(B39:D39)</f>
        <v>3738.4156092262083</v>
      </c>
      <c r="F39" s="317">
        <f>IF(SUM(F$7:F$37)=0,0,SUM(F$7:F$37)/'Sch PA-T-1 Cust Fcst'!$C38)</f>
        <v>6476.2287955589845</v>
      </c>
      <c r="G39" s="318">
        <f>IF(SUM(G$7:G$37)=0,0,SUM(G$7:G$37)/'Sch PA-T-1 Cust Fcst'!$C38)</f>
        <v>869.97496186061642</v>
      </c>
      <c r="H39" s="318">
        <f>IF(SUM(H$7:H$37)=0,0,SUM(H$7:H$37)/'Sch PA-T-1 Cust Fcst'!$C38)</f>
        <v>301.76349896014182</v>
      </c>
      <c r="I39" s="319">
        <f>SUM(F39:H39)</f>
        <v>7647.967256379743</v>
      </c>
      <c r="J39" s="317">
        <f>IF(SUM(J$7:J$37)=0,0,SUM(J$7:J$37)/'Sch PA-T-1 Cust Fcst'!$D38)</f>
        <v>8657.2629239678427</v>
      </c>
      <c r="K39" s="318">
        <f>IF(SUM(K$7:K$37)=0,0,SUM(K$7:K$37)/'Sch PA-T-1 Cust Fcst'!$D38)</f>
        <v>1150.8015125616887</v>
      </c>
      <c r="L39" s="318">
        <f>IF(SUM(L$7:L$37)=0,0,SUM(L$7:L$37)/'Sch PA-T-1 Cust Fcst'!$D38)</f>
        <v>355.46943718217534</v>
      </c>
      <c r="M39" s="319">
        <f>SUM(J39:L39)</f>
        <v>10163.533873711707</v>
      </c>
      <c r="N39" s="317">
        <f>IF(SUM(N$7:N$37)=0,0,SUM(N$7:N$37)/'Sch PA-T-1 Cust Fcst'!$E38)</f>
        <v>11970.729760364758</v>
      </c>
      <c r="O39" s="318">
        <f>IF(SUM(O$7:O$37)=0,0,SUM(O$7:O$37)/'Sch PA-T-1 Cust Fcst'!$E38)</f>
        <v>2055.4960496563995</v>
      </c>
      <c r="P39" s="318">
        <f>IF(SUM(P$7:P$37)=0,0,SUM(P$7:P$37)/'Sch PA-T-1 Cust Fcst'!$E38)</f>
        <v>582.92093191854974</v>
      </c>
      <c r="Q39" s="319">
        <f>SUM(N39:P39)</f>
        <v>14609.146741939709</v>
      </c>
      <c r="R39" s="317">
        <f>IF(SUM(R$7:R$37)=0,0,SUM(R$7:R$37)/'Sch PA-T-1 Cust Fcst'!$F38)</f>
        <v>10123.525675656796</v>
      </c>
      <c r="S39" s="318">
        <f>IF(SUM(S$7:S$37)=0,0,SUM(S$7:S$37)/'Sch PA-T-1 Cust Fcst'!$F38)</f>
        <v>1687.6519978683448</v>
      </c>
      <c r="T39" s="318">
        <f>IF(SUM(T$7:T$37)=0,0,SUM(T$7:T$37)/'Sch PA-T-1 Cust Fcst'!$F38)</f>
        <v>503.70356997631137</v>
      </c>
      <c r="U39" s="319">
        <f>SUM(R39:T39)</f>
        <v>12314.881243501452</v>
      </c>
      <c r="V39" s="317">
        <f>IF(SUM(V$7:V$37)=0,0,SUM(V$7:V$37)/'Sch PA-T-1 Cust Fcst'!$G38)</f>
        <v>0</v>
      </c>
      <c r="W39" s="318">
        <f>IF(SUM(W$7:W$37)=0,0,SUM(W$7:W$37)/'Sch PA-T-1 Cust Fcst'!$G38)</f>
        <v>4014.3085077341652</v>
      </c>
      <c r="X39" s="318">
        <f>IF(SUM(X$7:X$37)=0,0,SUM(X$7:X$37)/'Sch PA-T-1 Cust Fcst'!$G38)</f>
        <v>962.95755320683725</v>
      </c>
      <c r="Y39" s="319">
        <f>SUM(V39:X39)</f>
        <v>4977.2660609410023</v>
      </c>
      <c r="Z39" s="317">
        <f>IF(SUM(Z$7:Z$37)=0,0,SUM(Z$7:Z$37)/'Sch PA-T-1 Cust Fcst'!$H38)</f>
        <v>9690.5439257814542</v>
      </c>
      <c r="AA39" s="318">
        <f>IF(SUM(AA$7:AA$37)=0,0,SUM(AA$7:AA$37)/'Sch PA-T-1 Cust Fcst'!$H38)</f>
        <v>1787.1627650927485</v>
      </c>
      <c r="AB39" s="318">
        <f>IF(SUM(AB$7:AB$37)=0,0,SUM(AB$7:AB$37)/'Sch PA-T-1 Cust Fcst'!$H38)</f>
        <v>523.34579736498972</v>
      </c>
      <c r="AC39" s="319">
        <f>SUM(Z39:AB39)</f>
        <v>12001.052488239191</v>
      </c>
    </row>
    <row r="40" spans="1:29">
      <c r="A40" s="149" t="s">
        <v>166</v>
      </c>
      <c r="B40" s="301">
        <f>IF(SUM(B$7:B$10)=0,0,SUM(B$7:B$10)/'Sch PA-T-1 Cust Fcst'!$B39)</f>
        <v>1228.3198434898354</v>
      </c>
      <c r="C40" s="300">
        <f>IF(SUM(C$7:C$10)=0,0,SUM(C$7:C$10)/'Sch PA-T-1 Cust Fcst'!$B39)</f>
        <v>152.05968928690083</v>
      </c>
      <c r="D40" s="300">
        <f>IF(SUM(D$7:D$10)=0,0,SUM(D$7:D$10)/'Sch PA-T-1 Cust Fcst'!$B39)</f>
        <v>234.2997315603759</v>
      </c>
      <c r="E40" s="305">
        <f>SUM(B40:D40)</f>
        <v>1614.679264337112</v>
      </c>
      <c r="F40" s="301">
        <f>IF(SUM(F$7:F$10)=0,0,SUM(F$7:F$10)/'Sch PA-T-1 Cust Fcst'!$C39)</f>
        <v>2427.6520859938519</v>
      </c>
      <c r="G40" s="300">
        <f>IF(SUM(G$7:G$10)=0,0,SUM(G$7:G$10)/'Sch PA-T-1 Cust Fcst'!$C39)</f>
        <v>682.13472110990608</v>
      </c>
      <c r="H40" s="300">
        <f>IF(SUM(H$7:H$10)=0,0,SUM(H$7:H$10)/'Sch PA-T-1 Cust Fcst'!$C39)</f>
        <v>301.76349896014176</v>
      </c>
      <c r="I40" s="305">
        <f>SUM(F40:H40)</f>
        <v>3411.5503060638994</v>
      </c>
      <c r="J40" s="301">
        <f>IF(SUM(J$7:J$10)=0,0,SUM(J$7:J$10)/'Sch PA-T-1 Cust Fcst'!$D39)</f>
        <v>2513.319767969188</v>
      </c>
      <c r="K40" s="300">
        <f>IF(SUM(K$7:K$10)=0,0,SUM(K$7:K$10)/'Sch PA-T-1 Cust Fcst'!$D39)</f>
        <v>694.18712044478161</v>
      </c>
      <c r="L40" s="300">
        <f>IF(SUM(L$7:L$10)=0,0,SUM(L$7:L$10)/'Sch PA-T-1 Cust Fcst'!$D39)</f>
        <v>301.76349896014176</v>
      </c>
      <c r="M40" s="305">
        <f>SUM(J40:L40)</f>
        <v>3509.2703873741111</v>
      </c>
      <c r="N40" s="301">
        <f>IF(SUM(N$7:N$10)=0,0,SUM(N$7:N$10)/'Sch PA-T-1 Cust Fcst'!$E39)</f>
        <v>2472.7308227900071</v>
      </c>
      <c r="O40" s="300">
        <f>IF(SUM(O$7:O$10)=0,0,SUM(O$7:O$10)/'Sch PA-T-1 Cust Fcst'!$E39)</f>
        <v>673.40712159154816</v>
      </c>
      <c r="P40" s="300">
        <f>IF(SUM(P$7:P$10)=0,0,SUM(P$7:P$10)/'Sch PA-T-1 Cust Fcst'!$E39)</f>
        <v>301.76349896014176</v>
      </c>
      <c r="Q40" s="305">
        <f>SUM(N40:P40)</f>
        <v>3447.9014433416969</v>
      </c>
      <c r="R40" s="301">
        <f>IF(SUM(R$7:R$10)=0,0,SUM(R$7:R$10)/'Sch PA-T-1 Cust Fcst'!$F39)</f>
        <v>1949.8866077189134</v>
      </c>
      <c r="S40" s="300">
        <f>IF(SUM(S$7:S$10)=0,0,SUM(S$7:S$10)/'Sch PA-T-1 Cust Fcst'!$F39)</f>
        <v>457.84854982594709</v>
      </c>
      <c r="T40" s="300">
        <f>IF(SUM(T$7:T$10)=0,0,SUM(T$7:T$10)/'Sch PA-T-1 Cust Fcst'!$F39)</f>
        <v>273.44537437258572</v>
      </c>
      <c r="U40" s="305">
        <f>SUM(R40:T40)</f>
        <v>2681.1805319174464</v>
      </c>
      <c r="V40" s="301">
        <f>IF(SUM(V$7:V$10)=0,0,SUM(V$7:V$10)/'Sch PA-T-1 Cust Fcst'!$G39)</f>
        <v>0</v>
      </c>
      <c r="W40" s="300">
        <f>IF(SUM(W$7:W$10)=0,0,SUM(W$7:W$10)/'Sch PA-T-1 Cust Fcst'!$G39)</f>
        <v>3129.9273129422195</v>
      </c>
      <c r="X40" s="300">
        <f>IF(SUM(X$7:X$10)=0,0,SUM(X$7:X$10)/'Sch PA-T-1 Cust Fcst'!$G39)</f>
        <v>865.67585029149416</v>
      </c>
      <c r="Y40" s="305">
        <f>SUM(V40:X40)</f>
        <v>3995.6031632337135</v>
      </c>
      <c r="Z40" s="301">
        <f>IF(SUM(Z$7:Z$10)=0,0,SUM(Z$7:Z$10)/'Sch PA-T-1 Cust Fcst'!$H39)</f>
        <v>1926.1075027467316</v>
      </c>
      <c r="AA40" s="300">
        <f>IF(SUM(AA$7:AA$10)=0,0,SUM(AA$7:AA$10)/'Sch PA-T-1 Cust Fcst'!$H39)</f>
        <v>490.43487620541384</v>
      </c>
      <c r="AB40" s="300">
        <f>IF(SUM(AB$7:AB$10)=0,0,SUM(AB$7:AB$10)/'Sch PA-T-1 Cust Fcst'!$H39)</f>
        <v>280.66769724964558</v>
      </c>
      <c r="AC40" s="305">
        <f>SUM(Z40:AB40)</f>
        <v>2697.2100762017913</v>
      </c>
    </row>
    <row r="41" spans="1:29" ht="13.5" thickBot="1">
      <c r="A41" s="323" t="s">
        <v>266</v>
      </c>
      <c r="B41" s="244">
        <f>IF(SUM(B$11:B$37)=0,0,SUM(B$11:B$37)/'Sch PA-T-1 Cust Fcst'!$B40)</f>
        <v>4503.8432794589289</v>
      </c>
      <c r="C41" s="240">
        <f>IF(SUM(C$11:C$37)=0,0,SUM(C$11:C$37)/'Sch PA-T-1 Cust Fcst'!$B40)</f>
        <v>536.59250727561107</v>
      </c>
      <c r="D41" s="240">
        <f>IF(SUM(D$11:D$37)=0,0,SUM(D$11:D$37)/'Sch PA-T-1 Cust Fcst'!$B40)</f>
        <v>234.29973156037588</v>
      </c>
      <c r="E41" s="249">
        <f>SUM(B41:D41)</f>
        <v>5274.7355182949159</v>
      </c>
      <c r="F41" s="244">
        <f>IF(SUM(F$11:F$37)=0,0,SUM(F$11:F$37)/'Sch PA-T-1 Cust Fcst'!$C40)</f>
        <v>12549.093859906681</v>
      </c>
      <c r="G41" s="240">
        <f>IF(SUM(G$11:G$37)=0,0,SUM(G$11:G$37)/'Sch PA-T-1 Cust Fcst'!$C40)</f>
        <v>1151.7353229866821</v>
      </c>
      <c r="H41" s="240">
        <f>IF(SUM(H$11:H$37)=0,0,SUM(H$11:H$37)/'Sch PA-T-1 Cust Fcst'!$C40)</f>
        <v>301.76349896014176</v>
      </c>
      <c r="I41" s="249">
        <f>SUM(F41:H41)</f>
        <v>14002.592681853504</v>
      </c>
      <c r="J41" s="244">
        <f>IF(SUM(J$11:J$37)=0,0,SUM(J$11:J$37)/'Sch PA-T-1 Cust Fcst'!$D40)</f>
        <v>13265.220290966834</v>
      </c>
      <c r="K41" s="240">
        <f>IF(SUM(K$11:K$37)=0,0,SUM(K$11:K$37)/'Sch PA-T-1 Cust Fcst'!$D40)</f>
        <v>1493.2623066493688</v>
      </c>
      <c r="L41" s="240">
        <f>IF(SUM(L$11:L$37)=0,0,SUM(L$11:L$37)/'Sch PA-T-1 Cust Fcst'!$D40)</f>
        <v>395.74889084870051</v>
      </c>
      <c r="M41" s="249">
        <f>SUM(J41:L41)</f>
        <v>15154.231488464904</v>
      </c>
      <c r="N41" s="244">
        <f>IF(SUM(N$11:N$37)=0,0,SUM(N$11:N$37)/'Sch PA-T-1 Cust Fcst'!$E40)</f>
        <v>12820.859294900773</v>
      </c>
      <c r="O41" s="240">
        <f>IF(SUM(O$11:O$37)=0,0,SUM(O$11:O$37)/'Sch PA-T-1 Cust Fcst'!$E40)</f>
        <v>2179.2015401313397</v>
      </c>
      <c r="P41" s="240">
        <f>IF(SUM(P$11:P$37)=0,0,SUM(P$11:P$37)/'Sch PA-T-1 Cust Fcst'!$E40)</f>
        <v>608.08625770803678</v>
      </c>
      <c r="Q41" s="249">
        <f>SUM(N41:P41)</f>
        <v>15608.14709274015</v>
      </c>
      <c r="R41" s="244">
        <f>IF(SUM(R$11:R$37)=0,0,SUM(R$11:R$37)/'Sch PA-T-1 Cust Fcst'!$F40)</f>
        <v>11825.491651242832</v>
      </c>
      <c r="S41" s="240">
        <f>IF(SUM(S$11:S$37)=0,0,SUM(S$11:S$37)/'Sch PA-T-1 Cust Fcst'!$F40)</f>
        <v>1943.729322524988</v>
      </c>
      <c r="T41" s="240">
        <f>IF(SUM(T$11:T$37)=0,0,SUM(T$11:T$37)/'Sch PA-T-1 Cust Fcst'!$F40)</f>
        <v>551.64936391950346</v>
      </c>
      <c r="U41" s="249">
        <f>SUM(R41:T41)</f>
        <v>14320.870337687324</v>
      </c>
      <c r="V41" s="244">
        <f>IF(SUM(V$11:V$37)=0,0,SUM(V$11:V$37)/'Sch PA-T-1 Cust Fcst'!$G40)</f>
        <v>0</v>
      </c>
      <c r="W41" s="240">
        <f>IF(SUM(W$11:W$37)=0,0,SUM(W$11:W$37)/'Sch PA-T-1 Cust Fcst'!$G40)</f>
        <v>4058.5275674737627</v>
      </c>
      <c r="X41" s="240">
        <f>IF(SUM(X$11:X$37)=0,0,SUM(X$11:X$37)/'Sch PA-T-1 Cust Fcst'!$G40)</f>
        <v>967.8216383526044</v>
      </c>
      <c r="Y41" s="249">
        <f>SUM(V41:X41)</f>
        <v>5026.3492058263673</v>
      </c>
      <c r="Z41" s="244">
        <f>IF(SUM(Z$11:Z$37)=0,0,SUM(Z$11:Z$37)/'Sch PA-T-1 Cust Fcst'!$H40)</f>
        <v>11247.228000815308</v>
      </c>
      <c r="AA41" s="240">
        <f>IF(SUM(AA$11:AA$37)=0,0,SUM(AA$11:AA$37)/'Sch PA-T-1 Cust Fcst'!$H40)</f>
        <v>2047.1424396373975</v>
      </c>
      <c r="AB41" s="240">
        <f>IF(SUM(AB$11:AB$37)=0,0,SUM(AB$11:AB$37)/'Sch PA-T-1 Cust Fcst'!$H40)</f>
        <v>572.00008638566976</v>
      </c>
      <c r="AC41" s="249">
        <f>SUM(Z41:AB41)</f>
        <v>13866.370526838375</v>
      </c>
    </row>
    <row r="42" spans="1:29">
      <c r="A42" t="s">
        <v>3</v>
      </c>
      <c r="E42" s="18"/>
      <c r="I42" s="18"/>
      <c r="M42" s="18"/>
      <c r="Q42" s="18"/>
      <c r="U42" s="18"/>
      <c r="Y42" s="18"/>
      <c r="AC42" s="18"/>
    </row>
    <row r="43" spans="1:29">
      <c r="A43" s="340" t="s">
        <v>102</v>
      </c>
      <c r="B43" s="18"/>
      <c r="E43" s="361">
        <f>IF(SUM(B7:D37)=0,0,SUM(B7:D37)/'Sch PA-T-1 Cust Fcst'!B38)-E39</f>
        <v>0</v>
      </c>
      <c r="F43" s="18"/>
      <c r="I43" s="361">
        <f>IF(SUM(F7:H37)=0,0,SUM(F7:H37)/'Sch PA-T-1 Cust Fcst'!C38)-I39</f>
        <v>0</v>
      </c>
      <c r="J43" s="18"/>
      <c r="M43" s="361">
        <f>IF(SUM(J7:L37)=0,0,SUM(J7:L37)/'Sch PA-T-1 Cust Fcst'!D38)-M39</f>
        <v>0</v>
      </c>
      <c r="N43" s="18"/>
      <c r="Q43" s="361">
        <f>IF(SUM(N7:P37)=0,0,SUM(N7:P37)/'Sch PA-T-1 Cust Fcst'!E38)-Q39</f>
        <v>0</v>
      </c>
      <c r="R43" s="18"/>
      <c r="U43" s="361">
        <f>IF(SUM(R7:T37)=0,0,SUM(R7:T37)/'Sch PA-T-1 Cust Fcst'!F38)-U39</f>
        <v>0</v>
      </c>
      <c r="V43" s="18"/>
      <c r="Y43" s="361">
        <f>IF(SUM(V7:X37)=0,0,SUM(V7:X37)/'Sch PA-T-1 Cust Fcst'!G38)-Y39</f>
        <v>0</v>
      </c>
      <c r="Z43" s="18"/>
      <c r="AC43" s="361">
        <f>IF(SUM(Z7:AB37)=0,0,SUM(Z7:AB37)/'Sch PA-T-1 Cust Fcst'!H38)-AC39</f>
        <v>0</v>
      </c>
    </row>
    <row r="44" spans="1:29">
      <c r="B44" s="18"/>
      <c r="E44" s="361">
        <f>IF(SUM(B8:D38)=0,0,SUM(B7:D10)/'Sch PA-T-1 Cust Fcst'!B39)-E40</f>
        <v>0</v>
      </c>
      <c r="F44" s="18"/>
      <c r="I44" s="361">
        <f>IF(SUM(F8:H38)=0,0,SUM(F7:H10)/'Sch PA-T-1 Cust Fcst'!C39)-I40</f>
        <v>0</v>
      </c>
      <c r="J44" s="18"/>
      <c r="M44" s="361">
        <f>IF(SUM(J8:L38)=0,0,SUM(J7:L10)/'Sch PA-T-1 Cust Fcst'!D39)-M40</f>
        <v>0</v>
      </c>
      <c r="N44" s="18"/>
      <c r="Q44" s="361">
        <f>IF(SUM(N8:P38)=0,0,SUM(N7:P10)/'Sch PA-T-1 Cust Fcst'!E39)-Q40</f>
        <v>0</v>
      </c>
      <c r="R44" s="18"/>
      <c r="U44" s="361">
        <f>IF(SUM(R8:T38)=0,0,SUM(R7:T10)/'Sch PA-T-1 Cust Fcst'!F39)-U40</f>
        <v>0</v>
      </c>
      <c r="V44" s="18"/>
      <c r="Y44" s="361">
        <f>IF(SUM(V8:X38)=0,0,SUM(V7:X10)/'Sch PA-T-1 Cust Fcst'!G39)-Y40</f>
        <v>0</v>
      </c>
      <c r="Z44" s="18"/>
      <c r="AC44" s="361">
        <f>IF(SUM(Z8:AB38)=0,0,SUM(Z7:AB10)/'Sch PA-T-1 Cust Fcst'!H39)-AC40</f>
        <v>0</v>
      </c>
    </row>
    <row r="45" spans="1:29">
      <c r="E45" s="361">
        <f>IF(SUM(B9:D39)=0,0,SUM(B11:D37)/'Sch PA-T-1 Cust Fcst'!B40)-E41</f>
        <v>0</v>
      </c>
      <c r="I45" s="361">
        <f>IF(SUM(F9:H39)=0,0,SUM(F11:H37)/'Sch PA-T-1 Cust Fcst'!C40)-I41</f>
        <v>0</v>
      </c>
      <c r="M45" s="361">
        <f>IF(SUM(J9:L39)=0,0,SUM(J11:L37)/'Sch PA-T-1 Cust Fcst'!D40)-M41</f>
        <v>0</v>
      </c>
      <c r="Q45" s="361">
        <f>IF(SUM(N9:P39)=0,0,SUM(N11:P37)/'Sch PA-T-1 Cust Fcst'!E40)-Q41</f>
        <v>0</v>
      </c>
      <c r="U45" s="361">
        <f>IF(SUM(R9:T39)=0,0,SUM(R11:T37)/'Sch PA-T-1 Cust Fcst'!F40)-U41</f>
        <v>0</v>
      </c>
      <c r="Y45" s="361">
        <f>IF(SUM(V9:X39)=0,0,SUM(V11:X37)/'Sch PA-T-1 Cust Fcst'!G40)-Y41</f>
        <v>0</v>
      </c>
      <c r="AC45" s="361">
        <f>IF(SUM(Z9:AB39)=0,0,SUM(Z11:AB37)/'Sch PA-T-1 Cust Fcst'!H40)-AC41</f>
        <v>0</v>
      </c>
    </row>
    <row r="50" spans="1:1">
      <c r="A50" s="19"/>
    </row>
    <row r="62" spans="1:1">
      <c r="A62" s="19"/>
    </row>
  </sheetData>
  <mergeCells count="11">
    <mergeCell ref="A1:Y1"/>
    <mergeCell ref="V2:Y2"/>
    <mergeCell ref="Z2:AC2"/>
    <mergeCell ref="B3:E3"/>
    <mergeCell ref="F3:I3"/>
    <mergeCell ref="J3:M3"/>
    <mergeCell ref="N3:Q3"/>
    <mergeCell ref="V3:Y3"/>
    <mergeCell ref="Z3:AC3"/>
    <mergeCell ref="B2:U2"/>
    <mergeCell ref="R3:U3"/>
  </mergeCells>
  <printOptions horizontalCentered="1"/>
  <pageMargins left="0.75" right="0.75" top="1" bottom="1" header="0.5" footer="0.5"/>
  <pageSetup scale="47" orientation="portrait" r:id="rId1"/>
  <headerFooter alignWithMargins="0">
    <oddFooter>&amp;L&amp;F
&amp;A&amp;R&amp;P of &amp;N</oddFooter>
  </headerFooter>
  <colBreaks count="1" manualBreakCount="1">
    <brk id="13" max="40" man="1"/>
  </colBreaks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sheetPr codeName="Sheet57">
    <tabColor rgb="FF0070C0"/>
    <pageSetUpPr fitToPage="1"/>
  </sheetPr>
  <dimension ref="A1:J56"/>
  <sheetViews>
    <sheetView topLeftCell="A4" zoomScaleNormal="100" workbookViewId="0">
      <selection activeCell="A24" sqref="A24:A26"/>
    </sheetView>
  </sheetViews>
  <sheetFormatPr defaultRowHeight="12.75"/>
  <cols>
    <col min="1" max="1" width="40.85546875" customWidth="1"/>
    <col min="2" max="2" width="10.28515625" bestFit="1" customWidth="1"/>
    <col min="3" max="4" width="10.28515625" style="12" bestFit="1" customWidth="1"/>
    <col min="5" max="6" width="9.28515625" style="12" bestFit="1" customWidth="1"/>
    <col min="7" max="7" width="10.28515625" style="12" bestFit="1" customWidth="1"/>
    <col min="8" max="10" width="10.28515625" bestFit="1" customWidth="1"/>
  </cols>
  <sheetData>
    <row r="1" spans="1:10" ht="18.75" thickBot="1">
      <c r="A1" s="826" t="s">
        <v>179</v>
      </c>
      <c r="B1" s="826"/>
      <c r="C1" s="826"/>
      <c r="D1" s="826"/>
      <c r="E1" s="826"/>
      <c r="F1" s="826"/>
      <c r="G1" s="826"/>
      <c r="H1" s="826"/>
      <c r="I1" s="826"/>
      <c r="J1" s="826"/>
    </row>
    <row r="2" spans="1:10" ht="13.5" thickBot="1">
      <c r="A2" s="68"/>
      <c r="B2" s="827" t="s">
        <v>0</v>
      </c>
      <c r="C2" s="828"/>
      <c r="D2" s="829"/>
      <c r="E2" s="828" t="s">
        <v>1</v>
      </c>
      <c r="F2" s="828"/>
      <c r="G2" s="829"/>
      <c r="H2" s="828" t="s">
        <v>180</v>
      </c>
      <c r="I2" s="828"/>
      <c r="J2" s="829"/>
    </row>
    <row r="3" spans="1:10" ht="13.5" thickBot="1">
      <c r="A3" s="356" t="s">
        <v>47</v>
      </c>
      <c r="B3" s="611" t="s">
        <v>243</v>
      </c>
      <c r="C3" s="612" t="s">
        <v>174</v>
      </c>
      <c r="D3" s="613" t="s">
        <v>167</v>
      </c>
      <c r="E3" s="612" t="s">
        <v>243</v>
      </c>
      <c r="F3" s="612" t="s">
        <v>174</v>
      </c>
      <c r="G3" s="613" t="s">
        <v>168</v>
      </c>
      <c r="H3" s="612" t="s">
        <v>243</v>
      </c>
      <c r="I3" s="612" t="s">
        <v>174</v>
      </c>
      <c r="J3" s="613" t="s">
        <v>2</v>
      </c>
    </row>
    <row r="4" spans="1:10">
      <c r="A4" s="39"/>
      <c r="B4" s="5"/>
      <c r="C4" s="6"/>
      <c r="D4" s="7"/>
      <c r="E4" s="6"/>
      <c r="F4" s="6"/>
      <c r="G4" s="7"/>
      <c r="H4" s="5"/>
      <c r="I4" s="6"/>
      <c r="J4" s="7"/>
    </row>
    <row r="5" spans="1:10">
      <c r="A5" s="40"/>
      <c r="B5" s="132"/>
      <c r="C5" s="8"/>
      <c r="D5" s="9"/>
      <c r="E5" s="8"/>
      <c r="F5" s="8"/>
      <c r="G5" s="9"/>
      <c r="H5" s="132"/>
      <c r="I5" s="8"/>
      <c r="J5" s="9"/>
    </row>
    <row r="6" spans="1:10">
      <c r="A6" s="40" t="s">
        <v>49</v>
      </c>
      <c r="B6" s="142"/>
      <c r="C6" s="34"/>
      <c r="D6" s="44"/>
      <c r="E6" s="34"/>
      <c r="F6" s="34"/>
      <c r="G6" s="44"/>
      <c r="H6" s="142"/>
      <c r="I6" s="34"/>
      <c r="J6" s="44"/>
    </row>
    <row r="7" spans="1:10">
      <c r="A7" s="41"/>
      <c r="B7" s="142"/>
      <c r="C7" s="34"/>
      <c r="D7" s="44"/>
      <c r="E7" s="34"/>
      <c r="F7" s="34"/>
      <c r="G7" s="44"/>
      <c r="H7" s="142"/>
      <c r="I7" s="34"/>
      <c r="J7" s="44"/>
    </row>
    <row r="8" spans="1:10">
      <c r="A8" s="40" t="s">
        <v>53</v>
      </c>
      <c r="B8" s="143">
        <f>'Sch PA-T-1 TSM'!R40</f>
        <v>1949.8866077189134</v>
      </c>
      <c r="C8" s="34">
        <f>'Sch PA-T-1 TSM'!R41</f>
        <v>11825.491651242832</v>
      </c>
      <c r="D8" s="44">
        <f>'Sch PA-T-1 TSM'!R39</f>
        <v>10123.525675656796</v>
      </c>
      <c r="E8" s="163">
        <f>'Sch PA-T-1 TSM'!V40</f>
        <v>0</v>
      </c>
      <c r="F8" s="163">
        <f>'Sch PA-T-1 TSM'!V41</f>
        <v>0</v>
      </c>
      <c r="G8" s="49">
        <f>'Sch PA-T-1 TSM'!V39</f>
        <v>0</v>
      </c>
      <c r="H8" s="143">
        <f>'Sch PA-T-1 TSM'!Z40</f>
        <v>1926.1075027467316</v>
      </c>
      <c r="I8" s="163">
        <f>'Sch PA-T-1 TSM'!Z41</f>
        <v>11247.228000815308</v>
      </c>
      <c r="J8" s="49">
        <f>'Sch PA-T-1 TSM'!Z39</f>
        <v>9690.5439257814542</v>
      </c>
    </row>
    <row r="9" spans="1:10">
      <c r="A9" s="40" t="s">
        <v>51</v>
      </c>
      <c r="B9" s="142">
        <f>'Sch PA-T-1 TSM'!S40</f>
        <v>457.84854982594709</v>
      </c>
      <c r="C9" s="34">
        <f>'Sch PA-T-1 TSM'!S41</f>
        <v>1943.729322524988</v>
      </c>
      <c r="D9" s="44">
        <f>'Sch PA-T-1 TSM'!S39</f>
        <v>1687.6519978683448</v>
      </c>
      <c r="E9" s="34">
        <f>'Sch PA-T-1 TSM'!W40</f>
        <v>3129.9273129422195</v>
      </c>
      <c r="F9" s="34">
        <f>'Sch PA-T-1 TSM'!W41</f>
        <v>4058.5275674737627</v>
      </c>
      <c r="G9" s="44">
        <f>'Sch PA-T-1 TSM'!W39</f>
        <v>4014.3085077341652</v>
      </c>
      <c r="H9" s="142">
        <f>'Sch PA-T-1 TSM'!AA40</f>
        <v>490.43487620541384</v>
      </c>
      <c r="I9" s="34">
        <f>'Sch PA-T-1 TSM'!AA41</f>
        <v>2047.1424396373975</v>
      </c>
      <c r="J9" s="44">
        <f>'Sch PA-T-1 TSM'!AA39</f>
        <v>1787.1627650927485</v>
      </c>
    </row>
    <row r="10" spans="1:10">
      <c r="A10" s="40" t="s">
        <v>52</v>
      </c>
      <c r="B10" s="142">
        <f>'Sch PA-T-1 TSM'!T40</f>
        <v>273.44537437258572</v>
      </c>
      <c r="C10" s="34">
        <f>'Sch PA-T-1 TSM'!T41</f>
        <v>551.64936391950346</v>
      </c>
      <c r="D10" s="44">
        <f>'Sch PA-T-1 TSM'!T39</f>
        <v>503.70356997631137</v>
      </c>
      <c r="E10" s="34">
        <f>'Sch PA-T-1 TSM'!X40</f>
        <v>865.67585029149416</v>
      </c>
      <c r="F10" s="34">
        <f>'Sch PA-T-1 TSM'!X41</f>
        <v>967.8216383526044</v>
      </c>
      <c r="G10" s="44">
        <f>'Sch PA-T-1 TSM'!X39</f>
        <v>962.95755320683725</v>
      </c>
      <c r="H10" s="142">
        <f>'Sch PA-T-1 TSM'!AB40</f>
        <v>280.66769724964558</v>
      </c>
      <c r="I10" s="34">
        <f>'Sch PA-T-1 TSM'!AB41</f>
        <v>572.00008638566976</v>
      </c>
      <c r="J10" s="44">
        <f>'Sch PA-T-1 TSM'!AB39</f>
        <v>523.34579736498972</v>
      </c>
    </row>
    <row r="11" spans="1:10">
      <c r="A11" s="42"/>
      <c r="B11" s="142"/>
      <c r="C11" s="34"/>
      <c r="D11" s="44"/>
      <c r="E11" s="34"/>
      <c r="F11" s="34"/>
      <c r="G11" s="44"/>
      <c r="H11" s="142"/>
      <c r="I11" s="34"/>
      <c r="J11" s="44"/>
    </row>
    <row r="12" spans="1:10">
      <c r="A12" s="40" t="s">
        <v>35</v>
      </c>
      <c r="B12" s="142">
        <f t="shared" ref="B12:J12" si="0">SUM(B8:B10)</f>
        <v>2681.1805319174464</v>
      </c>
      <c r="C12" s="34">
        <f t="shared" si="0"/>
        <v>14320.870337687324</v>
      </c>
      <c r="D12" s="44">
        <f t="shared" si="0"/>
        <v>12314.881243501452</v>
      </c>
      <c r="E12" s="34">
        <f t="shared" si="0"/>
        <v>3995.6031632337135</v>
      </c>
      <c r="F12" s="34">
        <f t="shared" si="0"/>
        <v>5026.3492058263673</v>
      </c>
      <c r="G12" s="44">
        <f t="shared" si="0"/>
        <v>4977.2660609410023</v>
      </c>
      <c r="H12" s="142">
        <f t="shared" si="0"/>
        <v>2697.2100762017913</v>
      </c>
      <c r="I12" s="34">
        <f t="shared" si="0"/>
        <v>13866.370526838375</v>
      </c>
      <c r="J12" s="44">
        <f t="shared" si="0"/>
        <v>12001.052488239191</v>
      </c>
    </row>
    <row r="13" spans="1:10">
      <c r="A13" s="42"/>
      <c r="B13" s="142"/>
      <c r="C13" s="34"/>
      <c r="D13" s="44"/>
      <c r="E13" s="34"/>
      <c r="F13" s="34"/>
      <c r="G13" s="44"/>
      <c r="H13" s="142"/>
      <c r="I13" s="34"/>
      <c r="J13" s="44"/>
    </row>
    <row r="14" spans="1:10">
      <c r="A14" s="40" t="s">
        <v>65</v>
      </c>
      <c r="B14" s="142"/>
      <c r="C14" s="34"/>
      <c r="D14" s="44"/>
      <c r="E14" s="34"/>
      <c r="F14" s="34"/>
      <c r="G14" s="44"/>
      <c r="H14" s="142"/>
      <c r="I14" s="34"/>
      <c r="J14" s="44"/>
    </row>
    <row r="15" spans="1:10">
      <c r="A15" s="53">
        <f>Inputs!C3</f>
        <v>2.7723662892949787E-2</v>
      </c>
      <c r="B15" s="142"/>
      <c r="C15" s="34"/>
      <c r="D15" s="44"/>
      <c r="E15" s="34"/>
      <c r="F15" s="34"/>
      <c r="G15" s="44"/>
      <c r="H15" s="142"/>
      <c r="I15" s="34"/>
      <c r="J15" s="44"/>
    </row>
    <row r="16" spans="1:10">
      <c r="A16" s="40" t="s">
        <v>64</v>
      </c>
      <c r="B16" s="142"/>
      <c r="C16" s="34"/>
      <c r="D16" s="44"/>
      <c r="E16" s="34"/>
      <c r="F16" s="34"/>
      <c r="G16" s="44"/>
      <c r="H16" s="142"/>
      <c r="I16" s="34"/>
      <c r="J16" s="44"/>
    </row>
    <row r="17" spans="1:10">
      <c r="A17" s="53">
        <f>Inputs!C4</f>
        <v>1.5023E-2</v>
      </c>
      <c r="B17" s="142"/>
      <c r="C17" s="34"/>
      <c r="D17" s="44"/>
      <c r="E17" s="34"/>
      <c r="F17" s="34"/>
      <c r="G17" s="44"/>
      <c r="H17" s="142"/>
      <c r="I17" s="34"/>
      <c r="J17" s="44"/>
    </row>
    <row r="18" spans="1:10">
      <c r="A18" s="122" t="s">
        <v>111</v>
      </c>
      <c r="B18" s="142">
        <f t="shared" ref="B18:J20" si="1">(B8*(1+$A$15)*(1+$A$17))</f>
        <v>2034.0498665374064</v>
      </c>
      <c r="C18" s="34">
        <f t="shared" si="1"/>
        <v>12335.917186019851</v>
      </c>
      <c r="D18" s="44">
        <f t="shared" si="1"/>
        <v>10560.488988406922</v>
      </c>
      <c r="E18" s="34">
        <f t="shared" si="1"/>
        <v>0</v>
      </c>
      <c r="F18" s="34">
        <f t="shared" si="1"/>
        <v>0</v>
      </c>
      <c r="G18" s="44">
        <f t="shared" si="1"/>
        <v>0</v>
      </c>
      <c r="H18" s="142">
        <f t="shared" si="1"/>
        <v>2009.2443803601209</v>
      </c>
      <c r="I18" s="34">
        <f t="shared" si="1"/>
        <v>11732.693851740152</v>
      </c>
      <c r="J18" s="44">
        <f t="shared" si="1"/>
        <v>10108.818379941451</v>
      </c>
    </row>
    <row r="19" spans="1:10">
      <c r="A19" s="122" t="s">
        <v>51</v>
      </c>
      <c r="B19" s="142">
        <f t="shared" si="1"/>
        <v>477.61073796864741</v>
      </c>
      <c r="C19" s="34">
        <f t="shared" si="1"/>
        <v>2027.6268134853171</v>
      </c>
      <c r="D19" s="44">
        <f t="shared" si="1"/>
        <v>1760.4963834494656</v>
      </c>
      <c r="E19" s="34">
        <f t="shared" si="1"/>
        <v>3265.0248521936915</v>
      </c>
      <c r="F19" s="34">
        <f t="shared" si="1"/>
        <v>4233.7064238908961</v>
      </c>
      <c r="G19" s="44">
        <f t="shared" si="1"/>
        <v>4187.5787300005522</v>
      </c>
      <c r="H19" s="142">
        <f t="shared" si="1"/>
        <v>511.60359302017235</v>
      </c>
      <c r="I19" s="34">
        <f t="shared" si="1"/>
        <v>2135.5035670503821</v>
      </c>
      <c r="J19" s="44">
        <f t="shared" si="1"/>
        <v>1864.3023493915691</v>
      </c>
    </row>
    <row r="20" spans="1:10">
      <c r="A20" s="122" t="s">
        <v>52</v>
      </c>
      <c r="B20" s="142">
        <f t="shared" si="1"/>
        <v>285.24813958207795</v>
      </c>
      <c r="C20" s="34">
        <f t="shared" si="1"/>
        <v>575.46029118512979</v>
      </c>
      <c r="D20" s="44">
        <f t="shared" si="1"/>
        <v>525.44500548332735</v>
      </c>
      <c r="E20" s="34">
        <f t="shared" si="1"/>
        <v>903.04115161341838</v>
      </c>
      <c r="F20" s="34">
        <f t="shared" si="1"/>
        <v>1009.5958742062978</v>
      </c>
      <c r="G20" s="44">
        <f t="shared" si="1"/>
        <v>1004.5218397971131</v>
      </c>
      <c r="H20" s="142">
        <f t="shared" si="1"/>
        <v>292.78220070441137</v>
      </c>
      <c r="I20" s="34">
        <f t="shared" si="1"/>
        <v>596.68941504924567</v>
      </c>
      <c r="J20" s="44">
        <f t="shared" si="1"/>
        <v>545.93505338676846</v>
      </c>
    </row>
    <row r="21" spans="1:10">
      <c r="A21" s="40"/>
      <c r="B21" s="147"/>
      <c r="C21" s="97"/>
      <c r="D21" s="99"/>
      <c r="E21" s="97"/>
      <c r="F21" s="97"/>
      <c r="G21" s="99"/>
      <c r="H21" s="147"/>
      <c r="I21" s="97"/>
      <c r="J21" s="99"/>
    </row>
    <row r="22" spans="1:10">
      <c r="A22" s="40" t="s">
        <v>35</v>
      </c>
      <c r="B22" s="147">
        <f t="shared" ref="B22:J22" si="2">B18+B19+B20</f>
        <v>2796.9087440881317</v>
      </c>
      <c r="C22" s="97">
        <f t="shared" si="2"/>
        <v>14939.004290690296</v>
      </c>
      <c r="D22" s="99">
        <f t="shared" si="2"/>
        <v>12846.430377339713</v>
      </c>
      <c r="E22" s="97">
        <f t="shared" si="2"/>
        <v>4168.0660038071101</v>
      </c>
      <c r="F22" s="97">
        <f t="shared" si="2"/>
        <v>5243.3022980971937</v>
      </c>
      <c r="G22" s="99">
        <f t="shared" si="2"/>
        <v>5192.1005697976652</v>
      </c>
      <c r="H22" s="147">
        <f t="shared" si="2"/>
        <v>2813.6301740847048</v>
      </c>
      <c r="I22" s="97">
        <f t="shared" si="2"/>
        <v>14464.886833839781</v>
      </c>
      <c r="J22" s="99">
        <f t="shared" si="2"/>
        <v>12519.05578271979</v>
      </c>
    </row>
    <row r="23" spans="1:10">
      <c r="A23" s="40"/>
      <c r="B23" s="142"/>
      <c r="C23" s="34"/>
      <c r="D23" s="44"/>
      <c r="E23" s="34"/>
      <c r="F23" s="34"/>
      <c r="G23" s="44"/>
      <c r="H23" s="142"/>
      <c r="I23" s="34"/>
      <c r="J23" s="44"/>
    </row>
    <row r="24" spans="1:10">
      <c r="A24" s="806" t="str">
        <f>'Resid TSM Sum by Rate Schedule'!A25</f>
        <v>Annualized Transformer Cost at 8.05%</v>
      </c>
      <c r="B24" s="147">
        <f>B18*Inputs!$C$5</f>
        <v>163.6976127854349</v>
      </c>
      <c r="C24" s="97">
        <f>C18*Inputs!$C$5</f>
        <v>992.7781162552601</v>
      </c>
      <c r="D24" s="99">
        <f>D18*Inputs!$C$5</f>
        <v>849.89402948705629</v>
      </c>
      <c r="E24" s="97">
        <f>E18*Inputs!$C$5</f>
        <v>0</v>
      </c>
      <c r="F24" s="97">
        <f>F18*Inputs!$C$5</f>
        <v>0</v>
      </c>
      <c r="G24" s="99">
        <f>G18*Inputs!$C$5</f>
        <v>0</v>
      </c>
      <c r="H24" s="147">
        <f>H18*Inputs!$C$5</f>
        <v>161.701300434393</v>
      </c>
      <c r="I24" s="97">
        <f>I18*Inputs!$C$5</f>
        <v>944.2315091034136</v>
      </c>
      <c r="J24" s="99">
        <f>J18*Inputs!$C$5</f>
        <v>813.54418301204976</v>
      </c>
    </row>
    <row r="25" spans="1:10">
      <c r="A25" s="806" t="str">
        <f>'Resid TSM Sum by Rate Schedule'!A26</f>
        <v>Annualized Services Cost at 7.08%</v>
      </c>
      <c r="B25" s="147">
        <f>B19*Inputs!$C$6</f>
        <v>33.802928608547148</v>
      </c>
      <c r="C25" s="97">
        <f>C19*Inputs!$C$6</f>
        <v>143.50540926389178</v>
      </c>
      <c r="D25" s="99">
        <f>D19*Inputs!$C$6</f>
        <v>124.59923706584303</v>
      </c>
      <c r="E25" s="97">
        <f>E19*Inputs!$C$6</f>
        <v>231.08232962526188</v>
      </c>
      <c r="F25" s="97">
        <f>F19*Inputs!$C$6</f>
        <v>299.64082592658525</v>
      </c>
      <c r="G25" s="99">
        <f>G19*Inputs!$C$6</f>
        <v>296.37613562652223</v>
      </c>
      <c r="H25" s="147">
        <f>H19*Inputs!$C$6</f>
        <v>36.208774962409521</v>
      </c>
      <c r="I25" s="97">
        <f>I19*Inputs!$C$6</f>
        <v>151.14039296377899</v>
      </c>
      <c r="J25" s="99">
        <f>J19*Inputs!$C$6</f>
        <v>131.94611052770506</v>
      </c>
    </row>
    <row r="26" spans="1:10" ht="15">
      <c r="A26" s="806" t="str">
        <f>'Resid TSM Sum by Rate Schedule'!A27</f>
        <v>Annualized Meter Cost at 10.78%</v>
      </c>
      <c r="B26" s="628">
        <f>B20*Inputs!$C$7</f>
        <v>30.740179185452543</v>
      </c>
      <c r="C26" s="627">
        <f>C20*Inputs!$C$7</f>
        <v>62.015312320918731</v>
      </c>
      <c r="D26" s="626">
        <f>D20*Inputs!$C$7</f>
        <v>56.625342567785211</v>
      </c>
      <c r="E26" s="627">
        <f>E20*Inputs!$C$7</f>
        <v>97.31753852314354</v>
      </c>
      <c r="F26" s="627">
        <f>F20*Inputs!$C$7</f>
        <v>108.80056263807839</v>
      </c>
      <c r="G26" s="626">
        <f>G20*Inputs!$C$7</f>
        <v>108.25375196593863</v>
      </c>
      <c r="H26" s="628">
        <f>H20*Inputs!$C$7</f>
        <v>31.552098201765848</v>
      </c>
      <c r="I26" s="627">
        <f>I20*Inputs!$C$7</f>
        <v>64.303099622491345</v>
      </c>
      <c r="J26" s="626">
        <f>J20*Inputs!$C$7</f>
        <v>58.833482277278549</v>
      </c>
    </row>
    <row r="27" spans="1:10">
      <c r="A27" s="114" t="s">
        <v>380</v>
      </c>
      <c r="B27" s="147">
        <f>SUM(B24:B26)</f>
        <v>228.24072057943459</v>
      </c>
      <c r="C27" s="97">
        <f t="shared" ref="C27:J27" si="3">SUM(C24:C26)</f>
        <v>1198.2988378400707</v>
      </c>
      <c r="D27" s="99">
        <f t="shared" si="3"/>
        <v>1031.1186091206846</v>
      </c>
      <c r="E27" s="97">
        <f t="shared" si="3"/>
        <v>328.3998681484054</v>
      </c>
      <c r="F27" s="97">
        <f t="shared" si="3"/>
        <v>408.44138856466361</v>
      </c>
      <c r="G27" s="99">
        <f t="shared" si="3"/>
        <v>404.62988759246088</v>
      </c>
      <c r="H27" s="147">
        <f t="shared" si="3"/>
        <v>229.4621735985684</v>
      </c>
      <c r="I27" s="97">
        <f t="shared" si="3"/>
        <v>1159.675001689684</v>
      </c>
      <c r="J27" s="99">
        <f t="shared" si="3"/>
        <v>1004.3237758170334</v>
      </c>
    </row>
    <row r="28" spans="1:10">
      <c r="A28" s="53"/>
      <c r="B28" s="142"/>
      <c r="C28" s="34"/>
      <c r="D28" s="44"/>
      <c r="E28" s="34"/>
      <c r="F28" s="34"/>
      <c r="G28" s="44"/>
      <c r="H28" s="142"/>
      <c r="I28" s="34"/>
      <c r="J28" s="44"/>
    </row>
    <row r="29" spans="1:10">
      <c r="A29" s="40" t="s">
        <v>50</v>
      </c>
      <c r="B29" s="142">
        <f>'Distribution O&amp;M Allocations'!$AB$20</f>
        <v>126.27731611433386</v>
      </c>
      <c r="C29" s="34">
        <f>'Distribution O&amp;M Allocations'!$AB$20</f>
        <v>126.27731611433386</v>
      </c>
      <c r="D29" s="44">
        <f>'Distribution O&amp;M Allocations'!$AB$20</f>
        <v>126.27731611433386</v>
      </c>
      <c r="E29" s="34">
        <f>'Distribution O&amp;M Allocations'!$AC$20</f>
        <v>51.037097909024432</v>
      </c>
      <c r="F29" s="34">
        <f>'Distribution O&amp;M Allocations'!$AC$20</f>
        <v>51.037097909024432</v>
      </c>
      <c r="G29" s="44">
        <f>'Distribution O&amp;M Allocations'!$AC$20</f>
        <v>51.037097909024432</v>
      </c>
      <c r="H29" s="142">
        <f>'Distribution O&amp;M Allocations'!$AC$24</f>
        <v>123.05930270840412</v>
      </c>
      <c r="I29" s="34">
        <f>'Distribution O&amp;M Allocations'!$AC$24</f>
        <v>123.05930270840412</v>
      </c>
      <c r="J29" s="44">
        <f>'Distribution O&amp;M Allocations'!$AC$24</f>
        <v>123.05930270840412</v>
      </c>
    </row>
    <row r="30" spans="1:10">
      <c r="A30" s="11"/>
      <c r="B30" s="10"/>
      <c r="C30" s="31"/>
      <c r="D30" s="107"/>
      <c r="E30" s="31"/>
      <c r="F30" s="31"/>
      <c r="G30" s="107"/>
      <c r="H30" s="10"/>
      <c r="I30" s="31"/>
      <c r="J30" s="107"/>
    </row>
    <row r="31" spans="1:10">
      <c r="A31" s="40" t="s">
        <v>61</v>
      </c>
      <c r="B31" s="197">
        <f>'Cust Service Cost Allocations'!$AF$76</f>
        <v>148.85601320389145</v>
      </c>
      <c r="C31" s="198">
        <f>'Cust Service Cost Allocations'!$AF$76</f>
        <v>148.85601320389145</v>
      </c>
      <c r="D31" s="382">
        <f>'Cust Service Cost Allocations'!$AF$76</f>
        <v>148.85601320389145</v>
      </c>
      <c r="E31" s="198">
        <f>'Cust Service Cost Allocations'!$AF$76</f>
        <v>148.85601320389145</v>
      </c>
      <c r="F31" s="198">
        <f>'Cust Service Cost Allocations'!$AF$76</f>
        <v>148.85601320389145</v>
      </c>
      <c r="G31" s="382">
        <f>'Cust Service Cost Allocations'!$AF$76</f>
        <v>148.85601320389145</v>
      </c>
      <c r="H31" s="197">
        <f>'Cust Service Cost Allocations'!$AF$76</f>
        <v>148.85601320389145</v>
      </c>
      <c r="I31" s="198">
        <f>'Cust Service Cost Allocations'!$AF$76</f>
        <v>148.85601320389145</v>
      </c>
      <c r="J31" s="382">
        <f>'Cust Service Cost Allocations'!$AF$76</f>
        <v>148.85601320389145</v>
      </c>
    </row>
    <row r="32" spans="1:10" ht="13.5" thickBot="1">
      <c r="A32" s="11"/>
      <c r="B32" s="144"/>
      <c r="C32" s="115"/>
      <c r="D32" s="116"/>
      <c r="E32" s="115"/>
      <c r="F32" s="115"/>
      <c r="G32" s="116"/>
      <c r="H32" s="144"/>
      <c r="I32" s="115"/>
      <c r="J32" s="116"/>
    </row>
    <row r="33" spans="1:10" ht="13.5" thickBot="1">
      <c r="A33" s="370" t="s">
        <v>165</v>
      </c>
      <c r="B33" s="371">
        <f t="shared" ref="B33:J33" si="4">B27+B29+B31</f>
        <v>503.37404989765992</v>
      </c>
      <c r="C33" s="372">
        <f t="shared" si="4"/>
        <v>1473.4321671582961</v>
      </c>
      <c r="D33" s="383">
        <f t="shared" si="4"/>
        <v>1306.25193843891</v>
      </c>
      <c r="E33" s="371">
        <f t="shared" si="4"/>
        <v>528.29297926132131</v>
      </c>
      <c r="F33" s="372">
        <f t="shared" si="4"/>
        <v>608.33449967757952</v>
      </c>
      <c r="G33" s="372">
        <f t="shared" si="4"/>
        <v>604.52299870537672</v>
      </c>
      <c r="H33" s="371">
        <f t="shared" si="4"/>
        <v>501.377489510864</v>
      </c>
      <c r="I33" s="372">
        <f t="shared" si="4"/>
        <v>1431.5903176019797</v>
      </c>
      <c r="J33" s="383">
        <f t="shared" si="4"/>
        <v>1276.2390917293289</v>
      </c>
    </row>
    <row r="34" spans="1:10">
      <c r="B34" s="18"/>
      <c r="C34" s="13"/>
      <c r="D34" s="13"/>
      <c r="E34" s="13"/>
      <c r="F34" s="13"/>
      <c r="G34" s="13"/>
    </row>
    <row r="36" spans="1:10">
      <c r="A36" t="s">
        <v>3</v>
      </c>
    </row>
    <row r="44" spans="1:10">
      <c r="A44" s="19"/>
    </row>
    <row r="56" spans="1:1">
      <c r="A56" s="19"/>
    </row>
  </sheetData>
  <mergeCells count="4">
    <mergeCell ref="B2:D2"/>
    <mergeCell ref="E2:G2"/>
    <mergeCell ref="H2:J2"/>
    <mergeCell ref="A1:J1"/>
  </mergeCells>
  <printOptions horizontalCentered="1"/>
  <pageMargins left="0.75" right="0.75" top="1" bottom="1" header="0.5" footer="0.5"/>
  <pageSetup scale="72" orientation="portrait" r:id="rId1"/>
  <headerFooter alignWithMargins="0">
    <oddFooter>&amp;L&amp;F
&amp;A&amp;R&amp;P of &amp;N</oddFooter>
  </headerFooter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sheetPr codeName="Sheet58">
    <tabColor rgb="FF0070C0"/>
    <pageSetUpPr fitToPage="1"/>
  </sheetPr>
  <dimension ref="A1:J58"/>
  <sheetViews>
    <sheetView zoomScaleNormal="100" workbookViewId="0">
      <selection activeCell="Q29" sqref="Q29"/>
    </sheetView>
  </sheetViews>
  <sheetFormatPr defaultRowHeight="12.75"/>
  <cols>
    <col min="1" max="1" width="40.7109375" customWidth="1"/>
    <col min="2" max="2" width="10.28515625" bestFit="1" customWidth="1"/>
    <col min="3" max="4" width="10.28515625" style="12" bestFit="1" customWidth="1"/>
    <col min="5" max="6" width="9.28515625" style="12" bestFit="1" customWidth="1"/>
    <col min="7" max="7" width="10.28515625" style="12" bestFit="1" customWidth="1"/>
    <col min="8" max="10" width="10.28515625" bestFit="1" customWidth="1"/>
  </cols>
  <sheetData>
    <row r="1" spans="1:10" ht="18.75" thickBot="1">
      <c r="A1" s="826" t="s">
        <v>399</v>
      </c>
      <c r="B1" s="826"/>
      <c r="C1" s="826"/>
      <c r="D1" s="826"/>
      <c r="E1" s="826"/>
      <c r="F1" s="826"/>
      <c r="G1" s="826"/>
      <c r="H1" s="826"/>
      <c r="I1" s="826"/>
      <c r="J1" s="826"/>
    </row>
    <row r="2" spans="1:10" ht="13.5" thickBot="1">
      <c r="A2" s="68"/>
      <c r="B2" s="827" t="s">
        <v>0</v>
      </c>
      <c r="C2" s="828"/>
      <c r="D2" s="829"/>
      <c r="E2" s="828" t="s">
        <v>1</v>
      </c>
      <c r="F2" s="828"/>
      <c r="G2" s="829"/>
      <c r="H2" s="828" t="s">
        <v>180</v>
      </c>
      <c r="I2" s="828"/>
      <c r="J2" s="829"/>
    </row>
    <row r="3" spans="1:10" ht="13.5" thickBot="1">
      <c r="A3" s="356" t="s">
        <v>47</v>
      </c>
      <c r="B3" s="611" t="s">
        <v>243</v>
      </c>
      <c r="C3" s="612" t="s">
        <v>174</v>
      </c>
      <c r="D3" s="613" t="s">
        <v>167</v>
      </c>
      <c r="E3" s="612" t="s">
        <v>243</v>
      </c>
      <c r="F3" s="612" t="s">
        <v>174</v>
      </c>
      <c r="G3" s="613" t="s">
        <v>168</v>
      </c>
      <c r="H3" s="612" t="s">
        <v>243</v>
      </c>
      <c r="I3" s="612" t="s">
        <v>174</v>
      </c>
      <c r="J3" s="613" t="s">
        <v>2</v>
      </c>
    </row>
    <row r="4" spans="1:10">
      <c r="A4" s="39"/>
      <c r="B4" s="5"/>
      <c r="C4" s="6"/>
      <c r="D4" s="7"/>
      <c r="E4" s="6"/>
      <c r="F4" s="6"/>
      <c r="G4" s="7"/>
      <c r="H4" s="5"/>
      <c r="I4" s="6"/>
      <c r="J4" s="7"/>
    </row>
    <row r="5" spans="1:10">
      <c r="A5" s="40"/>
      <c r="B5" s="132"/>
      <c r="C5" s="8"/>
      <c r="D5" s="9"/>
      <c r="E5" s="8"/>
      <c r="F5" s="8"/>
      <c r="G5" s="9"/>
      <c r="H5" s="132"/>
      <c r="I5" s="8"/>
      <c r="J5" s="9"/>
    </row>
    <row r="6" spans="1:10">
      <c r="A6" s="40" t="s">
        <v>49</v>
      </c>
      <c r="B6" s="142"/>
      <c r="C6" s="34"/>
      <c r="D6" s="44"/>
      <c r="E6" s="34"/>
      <c r="F6" s="34"/>
      <c r="G6" s="44"/>
      <c r="H6" s="142"/>
      <c r="I6" s="34"/>
      <c r="J6" s="44"/>
    </row>
    <row r="7" spans="1:10">
      <c r="A7" s="41"/>
      <c r="B7" s="142"/>
      <c r="C7" s="34"/>
      <c r="D7" s="44"/>
      <c r="E7" s="34"/>
      <c r="F7" s="34"/>
      <c r="G7" s="44"/>
      <c r="H7" s="142"/>
      <c r="I7" s="34"/>
      <c r="J7" s="44"/>
    </row>
    <row r="8" spans="1:10">
      <c r="A8" s="40" t="s">
        <v>53</v>
      </c>
      <c r="B8" s="143">
        <f>'Sch PA-T-1 TSM Summary'!B8*Inputs!$C$12</f>
        <v>2115.9078778272037</v>
      </c>
      <c r="C8" s="163">
        <f>'Sch PA-T-1 TSM Summary'!C8*Inputs!$C$12</f>
        <v>12832.362069154506</v>
      </c>
      <c r="D8" s="49">
        <f>'Sch PA-T-1 TSM Summary'!D8*Inputs!$C$12</f>
        <v>10985.483793627887</v>
      </c>
      <c r="E8" s="163">
        <f>'Sch PA-T-1 TSM Summary'!E8*Inputs!$C$12</f>
        <v>0</v>
      </c>
      <c r="F8" s="163">
        <f>'Sch PA-T-1 TSM Summary'!F8*Inputs!$C$12</f>
        <v>0</v>
      </c>
      <c r="G8" s="49">
        <f>'Sch PA-T-1 TSM Summary'!G8*Inputs!$C$12</f>
        <v>0</v>
      </c>
      <c r="H8" s="143">
        <f>'Sch PA-T-1 TSM Summary'!H8*Inputs!$C$12</f>
        <v>2090.1041232195548</v>
      </c>
      <c r="I8" s="163">
        <f>'Sch PA-T-1 TSM Summary'!I8*Inputs!$C$12</f>
        <v>12204.862701469689</v>
      </c>
      <c r="J8" s="49">
        <f>'Sch PA-T-1 TSM Summary'!J8*Inputs!$C$12</f>
        <v>10515.636217933008</v>
      </c>
    </row>
    <row r="9" spans="1:10">
      <c r="A9" s="40" t="s">
        <v>51</v>
      </c>
      <c r="B9" s="143">
        <f>'Sch PA-T-1 TSM Summary'!B9*Inputs!$C$12</f>
        <v>496.83163605180016</v>
      </c>
      <c r="C9" s="163">
        <f>'Sch PA-T-1 TSM Summary'!C9*Inputs!$C$12</f>
        <v>2109.2263363486986</v>
      </c>
      <c r="D9" s="49">
        <f>'Sch PA-T-1 TSM Summary'!D9*Inputs!$C$12</f>
        <v>1831.3455475741268</v>
      </c>
      <c r="E9" s="163">
        <f>'Sch PA-T-1 TSM Summary'!E9*Inputs!$C$12</f>
        <v>3396.4220443713425</v>
      </c>
      <c r="F9" s="163">
        <f>'Sch PA-T-1 TSM Summary'!F9*Inputs!$C$12</f>
        <v>4404.0870983993873</v>
      </c>
      <c r="G9" s="49">
        <f>'Sch PA-T-1 TSM Summary'!G9*Inputs!$C$12</f>
        <v>4356.1030482075748</v>
      </c>
      <c r="H9" s="143">
        <f>'Sch PA-T-1 TSM Summary'!H9*Inputs!$C$12</f>
        <v>532.19249468984344</v>
      </c>
      <c r="I9" s="163">
        <f>'Sch PA-T-1 TSM Summary'!I9*Inputs!$C$12</f>
        <v>2221.4444665223264</v>
      </c>
      <c r="J9" s="49">
        <f>'Sch PA-T-1 TSM Summary'!J9*Inputs!$C$12</f>
        <v>1939.3290659311581</v>
      </c>
    </row>
    <row r="10" spans="1:10">
      <c r="A10" s="40" t="s">
        <v>52</v>
      </c>
      <c r="B10" s="143">
        <f>'Sch PA-T-1 TSM Summary'!B10*Inputs!$C$12</f>
        <v>296.72762482697624</v>
      </c>
      <c r="C10" s="163">
        <f>'Sch PA-T-1 TSM Summary'!C10*Inputs!$C$12</f>
        <v>598.61903266320974</v>
      </c>
      <c r="D10" s="49">
        <f>'Sch PA-T-1 TSM Summary'!D10*Inputs!$C$12</f>
        <v>546.59093897228445</v>
      </c>
      <c r="E10" s="163">
        <f>'Sch PA-T-1 TSM Summary'!E10*Inputs!$C$12</f>
        <v>939.38301028660817</v>
      </c>
      <c r="F10" s="163">
        <f>'Sch PA-T-1 TSM Summary'!F10*Inputs!$C$12</f>
        <v>1050.2259058630916</v>
      </c>
      <c r="G10" s="49">
        <f>'Sch PA-T-1 TSM Summary'!G10*Inputs!$C$12</f>
        <v>1044.9476727404019</v>
      </c>
      <c r="H10" s="143">
        <f>'Sch PA-T-1 TSM Summary'!H10*Inputs!$C$12</f>
        <v>304.56488562526442</v>
      </c>
      <c r="I10" s="163">
        <f>'Sch PA-T-1 TSM Summary'!I10*Inputs!$C$12</f>
        <v>620.70249834535548</v>
      </c>
      <c r="J10" s="49">
        <f>'Sch PA-T-1 TSM Summary'!J10*Inputs!$C$12</f>
        <v>567.90558542672545</v>
      </c>
    </row>
    <row r="11" spans="1:10">
      <c r="A11" s="42"/>
      <c r="B11" s="142"/>
      <c r="C11" s="34"/>
      <c r="D11" s="44"/>
      <c r="E11" s="34"/>
      <c r="F11" s="34"/>
      <c r="G11" s="44"/>
      <c r="H11" s="142"/>
      <c r="I11" s="34"/>
      <c r="J11" s="44"/>
    </row>
    <row r="12" spans="1:10">
      <c r="A12" s="40" t="s">
        <v>35</v>
      </c>
      <c r="B12" s="142">
        <f t="shared" ref="B12:J12" si="0">SUM(B8:B10)</f>
        <v>2909.4671387059802</v>
      </c>
      <c r="C12" s="34">
        <f t="shared" si="0"/>
        <v>15540.207438166413</v>
      </c>
      <c r="D12" s="44">
        <f t="shared" si="0"/>
        <v>13363.420280174298</v>
      </c>
      <c r="E12" s="34">
        <f t="shared" si="0"/>
        <v>4335.8050546579507</v>
      </c>
      <c r="F12" s="34">
        <f t="shared" si="0"/>
        <v>5454.3130042624789</v>
      </c>
      <c r="G12" s="44">
        <f t="shared" si="0"/>
        <v>5401.0507209479765</v>
      </c>
      <c r="H12" s="142">
        <f t="shared" si="0"/>
        <v>2926.8615035346629</v>
      </c>
      <c r="I12" s="34">
        <f t="shared" si="0"/>
        <v>15047.00966633737</v>
      </c>
      <c r="J12" s="44">
        <f t="shared" si="0"/>
        <v>13022.870869290893</v>
      </c>
    </row>
    <row r="13" spans="1:10">
      <c r="A13" s="42"/>
      <c r="B13" s="142"/>
      <c r="C13" s="34"/>
      <c r="D13" s="44"/>
      <c r="E13" s="34"/>
      <c r="F13" s="34"/>
      <c r="G13" s="44"/>
      <c r="H13" s="142"/>
      <c r="I13" s="34"/>
      <c r="J13" s="44"/>
    </row>
    <row r="14" spans="1:10">
      <c r="A14" s="40" t="s">
        <v>65</v>
      </c>
      <c r="B14" s="142"/>
      <c r="C14" s="34"/>
      <c r="D14" s="44"/>
      <c r="E14" s="34"/>
      <c r="F14" s="34"/>
      <c r="G14" s="44"/>
      <c r="H14" s="142"/>
      <c r="I14" s="34"/>
      <c r="J14" s="44"/>
    </row>
    <row r="15" spans="1:10">
      <c r="A15" s="53">
        <f>Inputs!C3</f>
        <v>2.7723662892949787E-2</v>
      </c>
      <c r="B15" s="142"/>
      <c r="C15" s="34"/>
      <c r="D15" s="44"/>
      <c r="E15" s="34"/>
      <c r="F15" s="34"/>
      <c r="G15" s="44"/>
      <c r="H15" s="142"/>
      <c r="I15" s="34"/>
      <c r="J15" s="44"/>
    </row>
    <row r="16" spans="1:10">
      <c r="A16" s="40" t="s">
        <v>64</v>
      </c>
      <c r="B16" s="142"/>
      <c r="C16" s="34"/>
      <c r="D16" s="44"/>
      <c r="E16" s="34"/>
      <c r="F16" s="34"/>
      <c r="G16" s="44"/>
      <c r="H16" s="142"/>
      <c r="I16" s="34"/>
      <c r="J16" s="44"/>
    </row>
    <row r="17" spans="1:10">
      <c r="A17" s="53">
        <f>Inputs!C4</f>
        <v>1.5023E-2</v>
      </c>
      <c r="B17" s="142"/>
      <c r="C17" s="34"/>
      <c r="D17" s="44"/>
      <c r="E17" s="34"/>
      <c r="F17" s="34"/>
      <c r="G17" s="44"/>
      <c r="H17" s="142"/>
      <c r="I17" s="34"/>
      <c r="J17" s="44"/>
    </row>
    <row r="18" spans="1:10">
      <c r="A18" s="122" t="s">
        <v>111</v>
      </c>
      <c r="B18" s="142">
        <f t="shared" ref="B18:J20" si="1">(B8*(1+$A$15)*(1+$A$17))</f>
        <v>2207.2371385404658</v>
      </c>
      <c r="C18" s="34">
        <f t="shared" si="1"/>
        <v>13386.247308328655</v>
      </c>
      <c r="D18" s="44">
        <f t="shared" si="1"/>
        <v>11459.651938641757</v>
      </c>
      <c r="E18" s="34">
        <f t="shared" si="1"/>
        <v>0</v>
      </c>
      <c r="F18" s="34">
        <f t="shared" si="1"/>
        <v>0</v>
      </c>
      <c r="G18" s="44">
        <f t="shared" si="1"/>
        <v>0</v>
      </c>
      <c r="H18" s="142">
        <f t="shared" si="1"/>
        <v>2180.3196124607039</v>
      </c>
      <c r="I18" s="34">
        <f t="shared" si="1"/>
        <v>12731.663087872485</v>
      </c>
      <c r="J18" s="44">
        <f t="shared" si="1"/>
        <v>10969.52425898498</v>
      </c>
    </row>
    <row r="19" spans="1:10">
      <c r="A19" s="122" t="s">
        <v>51</v>
      </c>
      <c r="B19" s="142">
        <f t="shared" si="1"/>
        <v>518.2764572063802</v>
      </c>
      <c r="C19" s="34">
        <f t="shared" si="1"/>
        <v>2200.267200648274</v>
      </c>
      <c r="D19" s="44">
        <f t="shared" si="1"/>
        <v>1910.3922001827564</v>
      </c>
      <c r="E19" s="34">
        <f t="shared" si="1"/>
        <v>3543.0223371502479</v>
      </c>
      <c r="F19" s="34">
        <f t="shared" si="1"/>
        <v>4594.181394577663</v>
      </c>
      <c r="G19" s="44">
        <f t="shared" si="1"/>
        <v>4544.1262013668329</v>
      </c>
      <c r="H19" s="142">
        <f t="shared" si="1"/>
        <v>555.16360208374454</v>
      </c>
      <c r="I19" s="34">
        <f t="shared" si="1"/>
        <v>2317.3290194223273</v>
      </c>
      <c r="J19" s="44">
        <f t="shared" si="1"/>
        <v>2023.036627931973</v>
      </c>
    </row>
    <row r="20" spans="1:10">
      <c r="A20" s="122" t="s">
        <v>52</v>
      </c>
      <c r="B20" s="142">
        <f t="shared" si="1"/>
        <v>309.53532543276941</v>
      </c>
      <c r="C20" s="34">
        <f t="shared" si="1"/>
        <v>624.45731904369256</v>
      </c>
      <c r="D20" s="44">
        <f t="shared" si="1"/>
        <v>570.18352865542715</v>
      </c>
      <c r="E20" s="34">
        <f t="shared" si="1"/>
        <v>979.92974521543431</v>
      </c>
      <c r="F20" s="34">
        <f t="shared" si="1"/>
        <v>1095.5569699276043</v>
      </c>
      <c r="G20" s="44">
        <f t="shared" si="1"/>
        <v>1090.050911607977</v>
      </c>
      <c r="H20" s="142">
        <f t="shared" si="1"/>
        <v>317.71086713743603</v>
      </c>
      <c r="I20" s="34">
        <f t="shared" si="1"/>
        <v>647.49397678862715</v>
      </c>
      <c r="J20" s="44">
        <f t="shared" si="1"/>
        <v>592.41818250879498</v>
      </c>
    </row>
    <row r="21" spans="1:10">
      <c r="A21" s="40"/>
      <c r="B21" s="147"/>
      <c r="C21" s="97"/>
      <c r="D21" s="99"/>
      <c r="E21" s="97"/>
      <c r="F21" s="97"/>
      <c r="G21" s="99"/>
      <c r="H21" s="147"/>
      <c r="I21" s="97"/>
      <c r="J21" s="99"/>
    </row>
    <row r="22" spans="1:10">
      <c r="A22" s="40" t="s">
        <v>35</v>
      </c>
      <c r="B22" s="147">
        <f t="shared" ref="B22:J22" si="2">B18+B19+B20</f>
        <v>3035.0489211796153</v>
      </c>
      <c r="C22" s="97">
        <f t="shared" si="2"/>
        <v>16210.971828020622</v>
      </c>
      <c r="D22" s="99">
        <f t="shared" si="2"/>
        <v>13940.22766747994</v>
      </c>
      <c r="E22" s="97">
        <f t="shared" si="2"/>
        <v>4522.9520823656821</v>
      </c>
      <c r="F22" s="97">
        <f t="shared" si="2"/>
        <v>5689.7383645052669</v>
      </c>
      <c r="G22" s="99">
        <f t="shared" si="2"/>
        <v>5634.1771129748104</v>
      </c>
      <c r="H22" s="147">
        <f t="shared" si="2"/>
        <v>3053.1940816818842</v>
      </c>
      <c r="I22" s="97">
        <f t="shared" si="2"/>
        <v>15696.486084083441</v>
      </c>
      <c r="J22" s="99">
        <f t="shared" si="2"/>
        <v>13584.979069425748</v>
      </c>
    </row>
    <row r="23" spans="1:10">
      <c r="A23" s="40"/>
      <c r="B23" s="142"/>
      <c r="C23" s="34"/>
      <c r="D23" s="44"/>
      <c r="E23" s="34"/>
      <c r="F23" s="34"/>
      <c r="G23" s="44"/>
      <c r="H23" s="142"/>
      <c r="I23" s="34"/>
      <c r="J23" s="44"/>
    </row>
    <row r="24" spans="1:10">
      <c r="A24" s="806" t="str">
        <f>'Resid TSM Sum by Rate Schedule'!A25</f>
        <v>Annualized Transformer Cost at 8.05%</v>
      </c>
      <c r="B24" s="147">
        <f>B18*Inputs!$C$5</f>
        <v>177.63549280407173</v>
      </c>
      <c r="C24" s="97">
        <f>C18*Inputs!$C$5</f>
        <v>1077.3072797173511</v>
      </c>
      <c r="D24" s="99">
        <f>D18*Inputs!$C$5</f>
        <v>922.25746112165848</v>
      </c>
      <c r="E24" s="97">
        <f>E18*Inputs!$C$5</f>
        <v>0</v>
      </c>
      <c r="F24" s="97">
        <f>F18*Inputs!$C$5</f>
        <v>0</v>
      </c>
      <c r="G24" s="99">
        <f>G18*Inputs!$C$5</f>
        <v>0</v>
      </c>
      <c r="H24" s="147">
        <f>H18*Inputs!$C$5</f>
        <v>175.4692063064611</v>
      </c>
      <c r="I24" s="97">
        <f>I18*Inputs!$C$5</f>
        <v>1024.6272171394855</v>
      </c>
      <c r="J24" s="99">
        <f>J18*Inputs!$C$5</f>
        <v>882.81264099221892</v>
      </c>
    </row>
    <row r="25" spans="1:10">
      <c r="A25" s="806" t="str">
        <f>'Resid TSM Sum by Rate Schedule'!A26</f>
        <v>Annualized Services Cost at 7.08%</v>
      </c>
      <c r="B25" s="147">
        <f>B19*Inputs!$C$6</f>
        <v>36.681047325171441</v>
      </c>
      <c r="C25" s="97">
        <f>C19*Inputs!$C$6</f>
        <v>155.72404301371432</v>
      </c>
      <c r="D25" s="99">
        <f>D19*Inputs!$C$6</f>
        <v>135.20812248015696</v>
      </c>
      <c r="E25" s="97">
        <f>E19*Inputs!$C$6</f>
        <v>250.75761828671364</v>
      </c>
      <c r="F25" s="97">
        <f>F19*Inputs!$C$6</f>
        <v>325.15346358443622</v>
      </c>
      <c r="G25" s="99">
        <f>G19*Inputs!$C$6</f>
        <v>321.61080428454466</v>
      </c>
      <c r="H25" s="147">
        <f>H19*Inputs!$C$6</f>
        <v>39.291737214946352</v>
      </c>
      <c r="I25" s="97">
        <f>I19*Inputs!$C$6</f>
        <v>164.00910025433643</v>
      </c>
      <c r="J25" s="99">
        <f>J19*Inputs!$C$6</f>
        <v>143.18053860621015</v>
      </c>
    </row>
    <row r="26" spans="1:10" ht="15">
      <c r="A26" s="806" t="str">
        <f>'Resid TSM Sum by Rate Schedule'!A27</f>
        <v>Annualized Meter Cost at 10.78%</v>
      </c>
      <c r="B26" s="628">
        <f>B20*Inputs!$C$7</f>
        <v>33.357522969199877</v>
      </c>
      <c r="C26" s="627">
        <f>C20*Inputs!$C$7</f>
        <v>67.295548041767105</v>
      </c>
      <c r="D26" s="626">
        <f>D20*Inputs!$C$7</f>
        <v>61.446654359048075</v>
      </c>
      <c r="E26" s="627">
        <f>E20*Inputs!$C$7</f>
        <v>105.60354925087805</v>
      </c>
      <c r="F26" s="627">
        <f>F20*Inputs!$C$7</f>
        <v>118.06428470589735</v>
      </c>
      <c r="G26" s="626">
        <f>G20*Inputs!$C$7</f>
        <v>117.47091635089642</v>
      </c>
      <c r="H26" s="628">
        <f>H20*Inputs!$C$7</f>
        <v>34.238572070195943</v>
      </c>
      <c r="I26" s="627">
        <f>I20*Inputs!$C$7</f>
        <v>69.778126851749022</v>
      </c>
      <c r="J26" s="626">
        <f>J20*Inputs!$C$7</f>
        <v>63.842804057273781</v>
      </c>
    </row>
    <row r="27" spans="1:10">
      <c r="A27" s="114" t="s">
        <v>380</v>
      </c>
      <c r="B27" s="147">
        <f>SUM(B24:B26)</f>
        <v>247.67406309844307</v>
      </c>
      <c r="C27" s="97">
        <f t="shared" ref="C27:J27" si="3">SUM(C24:C26)</f>
        <v>1300.3268707728323</v>
      </c>
      <c r="D27" s="99">
        <f t="shared" si="3"/>
        <v>1118.9122379608636</v>
      </c>
      <c r="E27" s="97">
        <f t="shared" si="3"/>
        <v>356.36116753759165</v>
      </c>
      <c r="F27" s="97">
        <f t="shared" si="3"/>
        <v>443.21774829033359</v>
      </c>
      <c r="G27" s="99">
        <f t="shared" si="3"/>
        <v>439.08172063544106</v>
      </c>
      <c r="H27" s="147">
        <f t="shared" si="3"/>
        <v>248.9995155916034</v>
      </c>
      <c r="I27" s="97">
        <f t="shared" si="3"/>
        <v>1258.4144442455711</v>
      </c>
      <c r="J27" s="99">
        <f t="shared" si="3"/>
        <v>1089.8359836557029</v>
      </c>
    </row>
    <row r="28" spans="1:10">
      <c r="A28" s="53"/>
      <c r="B28" s="142"/>
      <c r="C28" s="34"/>
      <c r="D28" s="44"/>
      <c r="E28" s="34"/>
      <c r="F28" s="34"/>
      <c r="G28" s="44"/>
      <c r="H28" s="142"/>
      <c r="I28" s="34"/>
      <c r="J28" s="44"/>
    </row>
    <row r="29" spans="1:10">
      <c r="A29" s="40" t="s">
        <v>50</v>
      </c>
      <c r="B29" s="142">
        <f>'Sch PA-T-1 TSM Summary'!B$29*Inputs!$C$13</f>
        <v>133.03918021357907</v>
      </c>
      <c r="C29" s="34">
        <f>'Sch PA-T-1 TSM Summary'!C$29*Inputs!$C$13</f>
        <v>133.03918021357907</v>
      </c>
      <c r="D29" s="44">
        <f>'Sch PA-T-1 TSM Summary'!D$29*Inputs!$C$13</f>
        <v>133.03918021357907</v>
      </c>
      <c r="E29" s="34">
        <f>'Sch PA-T-1 TSM Summary'!E$29*Inputs!$C$13</f>
        <v>53.770018838134376</v>
      </c>
      <c r="F29" s="34">
        <f>'Sch PA-T-1 TSM Summary'!F$29*Inputs!$C$13</f>
        <v>53.770018838134376</v>
      </c>
      <c r="G29" s="44">
        <f>'Sch PA-T-1 TSM Summary'!G$29*Inputs!$C$13</f>
        <v>53.770018838134376</v>
      </c>
      <c r="H29" s="142">
        <f>'Sch PA-T-1 TSM Summary'!H$29*Inputs!$C$13</f>
        <v>129.64884948265373</v>
      </c>
      <c r="I29" s="34">
        <f>'Sch PA-T-1 TSM Summary'!I$29*Inputs!$C$13</f>
        <v>129.64884948265373</v>
      </c>
      <c r="J29" s="44">
        <f>'Sch PA-T-1 TSM Summary'!J$29*Inputs!$C$13</f>
        <v>129.64884948265373</v>
      </c>
    </row>
    <row r="30" spans="1:10" ht="15">
      <c r="A30" s="40" t="s">
        <v>453</v>
      </c>
      <c r="B30" s="730">
        <f>-Inputs!$C$18</f>
        <v>-3.0284021924274875</v>
      </c>
      <c r="C30" s="729">
        <f>-Inputs!$C$18</f>
        <v>-3.0284021924274875</v>
      </c>
      <c r="D30" s="731">
        <f>-Inputs!$C$18</f>
        <v>-3.0284021924274875</v>
      </c>
      <c r="E30" s="729">
        <f>-Inputs!$C$18</f>
        <v>-3.0284021924274875</v>
      </c>
      <c r="F30" s="729">
        <f>-Inputs!$C$18</f>
        <v>-3.0284021924274875</v>
      </c>
      <c r="G30" s="731">
        <f>-Inputs!$C$18</f>
        <v>-3.0284021924274875</v>
      </c>
      <c r="H30" s="730">
        <f>-Inputs!$C$18</f>
        <v>-3.0284021924274875</v>
      </c>
      <c r="I30" s="729">
        <f>-Inputs!$C$18</f>
        <v>-3.0284021924274875</v>
      </c>
      <c r="J30" s="731">
        <f>-Inputs!$C$18</f>
        <v>-3.0284021924274875</v>
      </c>
    </row>
    <row r="31" spans="1:10">
      <c r="A31" s="40" t="s">
        <v>451</v>
      </c>
      <c r="B31" s="142">
        <f>B29+B30</f>
        <v>130.01077802115159</v>
      </c>
      <c r="C31" s="34">
        <f t="shared" ref="C31:J31" si="4">C29+C30</f>
        <v>130.01077802115159</v>
      </c>
      <c r="D31" s="44">
        <f t="shared" si="4"/>
        <v>130.01077802115159</v>
      </c>
      <c r="E31" s="34">
        <f t="shared" si="4"/>
        <v>50.741616645706891</v>
      </c>
      <c r="F31" s="34">
        <f t="shared" si="4"/>
        <v>50.741616645706891</v>
      </c>
      <c r="G31" s="44">
        <f t="shared" si="4"/>
        <v>50.741616645706891</v>
      </c>
      <c r="H31" s="142">
        <f t="shared" si="4"/>
        <v>126.62044729022624</v>
      </c>
      <c r="I31" s="34">
        <f t="shared" si="4"/>
        <v>126.62044729022624</v>
      </c>
      <c r="J31" s="44">
        <f t="shared" si="4"/>
        <v>126.62044729022624</v>
      </c>
    </row>
    <row r="32" spans="1:10">
      <c r="A32" s="11"/>
      <c r="B32" s="10"/>
      <c r="C32" s="31"/>
      <c r="D32" s="107"/>
      <c r="E32" s="31"/>
      <c r="F32" s="31"/>
      <c r="G32" s="107"/>
      <c r="H32" s="10"/>
      <c r="I32" s="31"/>
      <c r="J32" s="107"/>
    </row>
    <row r="33" spans="1:10">
      <c r="A33" s="40" t="s">
        <v>61</v>
      </c>
      <c r="B33" s="197">
        <f>'Sch PA-T-1 TSM Summary'!B$31*Inputs!$C$14</f>
        <v>160.05279683391606</v>
      </c>
      <c r="C33" s="198">
        <f>'Sch PA-T-1 TSM Summary'!C$31*Inputs!$C$14</f>
        <v>160.05279683391606</v>
      </c>
      <c r="D33" s="382">
        <f>'Sch PA-T-1 TSM Summary'!D$31*Inputs!$C$14</f>
        <v>160.05279683391606</v>
      </c>
      <c r="E33" s="198">
        <f>'Sch PA-T-1 TSM Summary'!E$31*Inputs!$C$14</f>
        <v>160.05279683391606</v>
      </c>
      <c r="F33" s="198">
        <f>'Sch PA-T-1 TSM Summary'!F$31*Inputs!$C$14</f>
        <v>160.05279683391606</v>
      </c>
      <c r="G33" s="382">
        <f>'Sch PA-T-1 TSM Summary'!G$31*Inputs!$C$14</f>
        <v>160.05279683391606</v>
      </c>
      <c r="H33" s="197">
        <f>'Sch PA-T-1 TSM Summary'!H$31*Inputs!$C$14</f>
        <v>160.05279683391606</v>
      </c>
      <c r="I33" s="198">
        <f>'Sch PA-T-1 TSM Summary'!I$31*Inputs!$C$14</f>
        <v>160.05279683391606</v>
      </c>
      <c r="J33" s="382">
        <f>'Sch PA-T-1 TSM Summary'!J$31*Inputs!$C$14</f>
        <v>160.05279683391606</v>
      </c>
    </row>
    <row r="34" spans="1:10" ht="13.5" thickBot="1">
      <c r="A34" s="11"/>
      <c r="B34" s="144"/>
      <c r="C34" s="115"/>
      <c r="D34" s="116"/>
      <c r="E34" s="115"/>
      <c r="F34" s="115"/>
      <c r="G34" s="116"/>
      <c r="H34" s="144"/>
      <c r="I34" s="115"/>
      <c r="J34" s="116"/>
    </row>
    <row r="35" spans="1:10" ht="13.5" thickBot="1">
      <c r="A35" s="370" t="s">
        <v>165</v>
      </c>
      <c r="B35" s="371">
        <f t="shared" ref="B35:J35" si="5">B27+B31+B33</f>
        <v>537.73763795351078</v>
      </c>
      <c r="C35" s="372">
        <f t="shared" si="5"/>
        <v>1590.3904456278999</v>
      </c>
      <c r="D35" s="383">
        <f t="shared" si="5"/>
        <v>1408.9758128159312</v>
      </c>
      <c r="E35" s="371">
        <f t="shared" si="5"/>
        <v>567.15558101721456</v>
      </c>
      <c r="F35" s="372">
        <f t="shared" si="5"/>
        <v>654.01216176995649</v>
      </c>
      <c r="G35" s="372">
        <f t="shared" si="5"/>
        <v>649.87613411506402</v>
      </c>
      <c r="H35" s="371">
        <f t="shared" si="5"/>
        <v>535.67275971574566</v>
      </c>
      <c r="I35" s="372">
        <f t="shared" si="5"/>
        <v>1545.0876883697133</v>
      </c>
      <c r="J35" s="383">
        <f t="shared" si="5"/>
        <v>1376.5092277798451</v>
      </c>
    </row>
    <row r="36" spans="1:10">
      <c r="B36" s="18"/>
      <c r="C36" s="13"/>
      <c r="D36" s="13"/>
      <c r="E36" s="13"/>
      <c r="F36" s="13"/>
      <c r="G36" s="13"/>
    </row>
    <row r="38" spans="1:10">
      <c r="A38" t="s">
        <v>3</v>
      </c>
    </row>
    <row r="46" spans="1:10">
      <c r="A46" s="19"/>
    </row>
    <row r="58" spans="1:1">
      <c r="A58" s="19"/>
    </row>
  </sheetData>
  <mergeCells count="4">
    <mergeCell ref="B2:D2"/>
    <mergeCell ref="E2:G2"/>
    <mergeCell ref="H2:J2"/>
    <mergeCell ref="A1:J1"/>
  </mergeCells>
  <printOptions horizontalCentered="1"/>
  <pageMargins left="0.75" right="0.75" top="1" bottom="1" header="0.5" footer="0.5"/>
  <pageSetup scale="72" orientation="portrait" r:id="rId1"/>
  <headerFooter alignWithMargins="0">
    <oddFooter>&amp;L&amp;F
&amp;A&amp;R&amp;P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C00000"/>
    <pageSetUpPr fitToPage="1"/>
  </sheetPr>
  <dimension ref="A1:U67"/>
  <sheetViews>
    <sheetView zoomScaleNormal="100" workbookViewId="0">
      <pane xSplit="1" topLeftCell="D1" activePane="topRight" state="frozen"/>
      <selection activeCell="D15" sqref="D15"/>
      <selection pane="topRight" activeCell="E7" sqref="E7"/>
    </sheetView>
  </sheetViews>
  <sheetFormatPr defaultRowHeight="12.75"/>
  <cols>
    <col min="1" max="1" width="27" customWidth="1"/>
    <col min="2" max="17" width="12.7109375" customWidth="1"/>
    <col min="18" max="18" width="12.85546875" bestFit="1" customWidth="1"/>
  </cols>
  <sheetData>
    <row r="1" spans="1:21" ht="18.75" thickBot="1">
      <c r="A1" s="832" t="s">
        <v>145</v>
      </c>
      <c r="B1" s="833"/>
      <c r="C1" s="833"/>
      <c r="D1" s="833"/>
      <c r="E1" s="833"/>
      <c r="F1" s="833"/>
      <c r="G1" s="833"/>
      <c r="H1" s="833"/>
      <c r="I1" s="833"/>
      <c r="J1" s="833"/>
      <c r="K1" s="833"/>
      <c r="L1" s="833"/>
      <c r="M1" s="833"/>
      <c r="N1" s="833"/>
      <c r="O1" s="833"/>
      <c r="P1" s="833"/>
      <c r="Q1" s="833"/>
      <c r="R1" s="12"/>
    </row>
    <row r="2" spans="1:21" ht="13.5" thickBot="1">
      <c r="A2" s="131"/>
      <c r="B2" s="834" t="s">
        <v>0</v>
      </c>
      <c r="C2" s="835"/>
      <c r="D2" s="835"/>
      <c r="E2" s="835"/>
      <c r="F2" s="835"/>
      <c r="G2" s="835"/>
      <c r="H2" s="835"/>
      <c r="I2" s="835"/>
      <c r="J2" s="835"/>
      <c r="K2" s="835"/>
      <c r="L2" s="835"/>
      <c r="M2" s="835"/>
      <c r="N2" s="835"/>
      <c r="O2" s="835"/>
      <c r="P2" s="835"/>
      <c r="Q2" s="835"/>
      <c r="R2" s="836"/>
      <c r="S2" s="830"/>
      <c r="T2" s="830"/>
      <c r="U2" s="831"/>
    </row>
    <row r="3" spans="1:21" ht="13.5" thickBot="1">
      <c r="A3" s="196"/>
      <c r="B3" s="834" t="s">
        <v>127</v>
      </c>
      <c r="C3" s="835"/>
      <c r="D3" s="835"/>
      <c r="E3" s="837"/>
      <c r="F3" s="834" t="s">
        <v>114</v>
      </c>
      <c r="G3" s="835"/>
      <c r="H3" s="835"/>
      <c r="I3" s="837"/>
      <c r="J3" s="834" t="s">
        <v>33</v>
      </c>
      <c r="K3" s="835"/>
      <c r="L3" s="835"/>
      <c r="M3" s="837"/>
      <c r="N3" s="827" t="s">
        <v>34</v>
      </c>
      <c r="O3" s="828"/>
      <c r="P3" s="828"/>
      <c r="Q3" s="828"/>
      <c r="R3" s="838" t="s">
        <v>1</v>
      </c>
      <c r="S3" s="839"/>
      <c r="T3" s="839"/>
      <c r="U3" s="840"/>
    </row>
    <row r="4" spans="1:21" ht="13.5" thickBot="1">
      <c r="A4" s="102" t="s">
        <v>4</v>
      </c>
      <c r="B4" s="734" t="s">
        <v>36</v>
      </c>
      <c r="C4" s="735" t="s">
        <v>37</v>
      </c>
      <c r="D4" s="735" t="s">
        <v>38</v>
      </c>
      <c r="E4" s="736" t="s">
        <v>2</v>
      </c>
      <c r="F4" s="734" t="s">
        <v>36</v>
      </c>
      <c r="G4" s="735" t="s">
        <v>37</v>
      </c>
      <c r="H4" s="735" t="s">
        <v>38</v>
      </c>
      <c r="I4" s="736" t="s">
        <v>2</v>
      </c>
      <c r="J4" s="734" t="s">
        <v>36</v>
      </c>
      <c r="K4" s="735" t="s">
        <v>37</v>
      </c>
      <c r="L4" s="735" t="s">
        <v>38</v>
      </c>
      <c r="M4" s="736" t="s">
        <v>2</v>
      </c>
      <c r="N4" s="734" t="s">
        <v>36</v>
      </c>
      <c r="O4" s="735" t="s">
        <v>37</v>
      </c>
      <c r="P4" s="735" t="s">
        <v>38</v>
      </c>
      <c r="Q4" s="736" t="s">
        <v>2</v>
      </c>
      <c r="R4" s="734" t="s">
        <v>36</v>
      </c>
      <c r="S4" s="735" t="s">
        <v>37</v>
      </c>
      <c r="T4" s="735" t="s">
        <v>38</v>
      </c>
      <c r="U4" s="736" t="s">
        <v>2</v>
      </c>
    </row>
    <row r="5" spans="1:21">
      <c r="A5" s="133"/>
      <c r="B5" s="5" t="s">
        <v>44</v>
      </c>
      <c r="C5" s="6" t="s">
        <v>44</v>
      </c>
      <c r="D5" s="6" t="s">
        <v>44</v>
      </c>
      <c r="E5" s="7" t="s">
        <v>44</v>
      </c>
      <c r="F5" s="5" t="s">
        <v>44</v>
      </c>
      <c r="G5" s="6" t="s">
        <v>44</v>
      </c>
      <c r="H5" s="6" t="s">
        <v>44</v>
      </c>
      <c r="I5" s="7" t="s">
        <v>44</v>
      </c>
      <c r="J5" s="5" t="s">
        <v>44</v>
      </c>
      <c r="K5" s="6" t="s">
        <v>44</v>
      </c>
      <c r="L5" s="6" t="s">
        <v>44</v>
      </c>
      <c r="M5" s="9" t="s">
        <v>44</v>
      </c>
      <c r="N5" s="132" t="s">
        <v>44</v>
      </c>
      <c r="O5" s="6" t="s">
        <v>44</v>
      </c>
      <c r="P5" s="6" t="s">
        <v>44</v>
      </c>
      <c r="Q5" s="7" t="s">
        <v>44</v>
      </c>
      <c r="R5" s="132" t="s">
        <v>44</v>
      </c>
      <c r="S5" s="6" t="s">
        <v>44</v>
      </c>
      <c r="T5" s="6" t="s">
        <v>44</v>
      </c>
      <c r="U5" s="7" t="s">
        <v>44</v>
      </c>
    </row>
    <row r="6" spans="1:21">
      <c r="A6" s="112"/>
      <c r="B6" s="132"/>
      <c r="C6" s="8"/>
      <c r="D6" s="8"/>
      <c r="E6" s="9"/>
      <c r="F6" s="132"/>
      <c r="G6" s="8"/>
      <c r="H6" s="8"/>
      <c r="I6" s="9"/>
      <c r="J6" s="132"/>
      <c r="K6" s="8"/>
      <c r="L6" s="8"/>
      <c r="M6" s="9"/>
      <c r="N6" s="132"/>
      <c r="O6" s="8"/>
      <c r="P6" s="8"/>
      <c r="Q6" s="9"/>
      <c r="R6" s="132"/>
      <c r="S6" s="8"/>
      <c r="T6" s="8"/>
      <c r="U6" s="9"/>
    </row>
    <row r="7" spans="1:21">
      <c r="A7" s="153" t="s">
        <v>5</v>
      </c>
      <c r="B7" s="565">
        <v>245.39104820707465</v>
      </c>
      <c r="C7" s="557">
        <v>138.7130210066349</v>
      </c>
      <c r="D7" s="557">
        <v>246.24333484162895</v>
      </c>
      <c r="E7" s="45">
        <f>SUM(B7:D7)</f>
        <v>630.34740405533853</v>
      </c>
      <c r="F7" s="565">
        <v>290.98144300778256</v>
      </c>
      <c r="G7" s="557">
        <v>754.14273000301057</v>
      </c>
      <c r="H7" s="557">
        <v>373.18</v>
      </c>
      <c r="I7" s="45">
        <f>SUM(F7:H7)</f>
        <v>1418.3041730107932</v>
      </c>
      <c r="J7" s="565">
        <v>305.95670573403169</v>
      </c>
      <c r="K7" s="557">
        <v>754.14273000301057</v>
      </c>
      <c r="L7" s="557">
        <v>373.18</v>
      </c>
      <c r="M7" s="45">
        <f>SUM(J7:L7)</f>
        <v>1433.2794357370424</v>
      </c>
      <c r="N7" s="565">
        <v>360.9076494190582</v>
      </c>
      <c r="O7" s="557">
        <v>754.14273000301057</v>
      </c>
      <c r="P7" s="557">
        <v>373.18</v>
      </c>
      <c r="Q7" s="45">
        <f>SUM(N7:P7)</f>
        <v>1488.2303794220688</v>
      </c>
      <c r="R7" s="141"/>
      <c r="S7" s="557">
        <v>3870.6678530329991</v>
      </c>
      <c r="T7" s="557">
        <v>1013.04</v>
      </c>
      <c r="U7" s="45">
        <f>SUM(R7:T7)</f>
        <v>4883.7078530329991</v>
      </c>
    </row>
    <row r="8" spans="1:21">
      <c r="A8" s="153" t="s">
        <v>6</v>
      </c>
      <c r="B8" s="565">
        <v>771.22900865080612</v>
      </c>
      <c r="C8" s="557">
        <v>138.7130210066349</v>
      </c>
      <c r="D8" s="557">
        <v>246.24333484162895</v>
      </c>
      <c r="E8" s="45">
        <f t="shared" ref="E8:E16" si="0">SUM(B8:D8)</f>
        <v>1156.1853644990699</v>
      </c>
      <c r="F8" s="565">
        <v>872.94432902334779</v>
      </c>
      <c r="G8" s="557">
        <v>754.14273000301057</v>
      </c>
      <c r="H8" s="557">
        <v>373.18</v>
      </c>
      <c r="I8" s="45">
        <f t="shared" ref="I8:I17" si="1">SUM(F8:H8)</f>
        <v>2000.2670590263585</v>
      </c>
      <c r="J8" s="565">
        <v>917.870117202095</v>
      </c>
      <c r="K8" s="557">
        <v>754.14273000301057</v>
      </c>
      <c r="L8" s="557">
        <v>373.18</v>
      </c>
      <c r="M8" s="45">
        <f t="shared" ref="M8:M23" si="2">SUM(J8:L8)</f>
        <v>2045.1928472051056</v>
      </c>
      <c r="N8" s="565">
        <v>1082.7229482571745</v>
      </c>
      <c r="O8" s="557">
        <v>754.14273000301057</v>
      </c>
      <c r="P8" s="557">
        <v>373.18</v>
      </c>
      <c r="Q8" s="45">
        <f t="shared" ref="Q8:Q30" si="3">SUM(N8:P8)</f>
        <v>2210.045678260185</v>
      </c>
      <c r="R8" s="141"/>
      <c r="S8" s="557">
        <v>3870.6678530329991</v>
      </c>
      <c r="T8" s="557">
        <v>1013.04</v>
      </c>
      <c r="U8" s="45">
        <f t="shared" ref="U8:U19" si="4">SUM(R8:T8)</f>
        <v>4883.7078530329991</v>
      </c>
    </row>
    <row r="9" spans="1:21">
      <c r="A9" s="153" t="s">
        <v>7</v>
      </c>
      <c r="B9" s="565">
        <v>674.82538256945531</v>
      </c>
      <c r="C9" s="557">
        <v>195.52229201326981</v>
      </c>
      <c r="D9" s="557">
        <v>246.24333484162895</v>
      </c>
      <c r="E9" s="45">
        <f t="shared" si="0"/>
        <v>1116.5910094243541</v>
      </c>
      <c r="F9" s="565">
        <v>1745.8886580466956</v>
      </c>
      <c r="G9" s="557">
        <v>888.28562532861781</v>
      </c>
      <c r="H9" s="557">
        <v>373.18</v>
      </c>
      <c r="I9" s="45">
        <f t="shared" si="1"/>
        <v>3007.3542833753131</v>
      </c>
      <c r="J9" s="565">
        <v>1835.74023440419</v>
      </c>
      <c r="K9" s="557">
        <v>888.28562532861781</v>
      </c>
      <c r="L9" s="557">
        <v>373.18</v>
      </c>
      <c r="M9" s="45">
        <f t="shared" si="2"/>
        <v>3097.2058597328078</v>
      </c>
      <c r="N9" s="565">
        <v>2165.445896514349</v>
      </c>
      <c r="O9" s="557">
        <v>888.28562532861781</v>
      </c>
      <c r="P9" s="557">
        <v>373.18</v>
      </c>
      <c r="Q9" s="45">
        <f t="shared" si="3"/>
        <v>3426.9115218429665</v>
      </c>
      <c r="R9" s="141"/>
      <c r="S9" s="557">
        <v>3870.6678530329991</v>
      </c>
      <c r="T9" s="557">
        <v>1013.04</v>
      </c>
      <c r="U9" s="45">
        <f t="shared" si="4"/>
        <v>4883.7078530329991</v>
      </c>
    </row>
    <row r="10" spans="1:21">
      <c r="A10" s="153" t="s">
        <v>124</v>
      </c>
      <c r="B10" s="565">
        <v>1349.6507651389106</v>
      </c>
      <c r="C10" s="557">
        <v>213.73179817905475</v>
      </c>
      <c r="D10" s="557">
        <v>246.24333484162895</v>
      </c>
      <c r="E10" s="45">
        <f t="shared" si="0"/>
        <v>1809.6258981595943</v>
      </c>
      <c r="F10" s="565">
        <v>4364.7216451167387</v>
      </c>
      <c r="G10" s="557">
        <v>888.28562532861781</v>
      </c>
      <c r="H10" s="557">
        <v>373.18</v>
      </c>
      <c r="I10" s="45">
        <f t="shared" si="1"/>
        <v>5626.1872704453572</v>
      </c>
      <c r="J10" s="565">
        <v>4589.3505860104751</v>
      </c>
      <c r="K10" s="557">
        <v>888.28562532861781</v>
      </c>
      <c r="L10" s="557">
        <v>373.18</v>
      </c>
      <c r="M10" s="45">
        <f t="shared" si="2"/>
        <v>5850.8162113390936</v>
      </c>
      <c r="N10" s="565">
        <v>5413.6147412858727</v>
      </c>
      <c r="O10" s="557">
        <v>888.28562532861781</v>
      </c>
      <c r="P10" s="557">
        <v>373.18</v>
      </c>
      <c r="Q10" s="45">
        <f t="shared" si="3"/>
        <v>6675.0803666144911</v>
      </c>
      <c r="R10" s="141"/>
      <c r="S10" s="557">
        <v>3870.6678530329991</v>
      </c>
      <c r="T10" s="557">
        <v>1013.04</v>
      </c>
      <c r="U10" s="45">
        <f t="shared" si="4"/>
        <v>4883.7078530329991</v>
      </c>
    </row>
    <row r="11" spans="1:21">
      <c r="A11" s="153" t="s">
        <v>116</v>
      </c>
      <c r="B11" s="565">
        <v>1349.6507651389106</v>
      </c>
      <c r="C11" s="557">
        <v>213.73179817905475</v>
      </c>
      <c r="D11" s="557">
        <v>246.24333484162895</v>
      </c>
      <c r="E11" s="45">
        <f t="shared" si="0"/>
        <v>1809.6258981595943</v>
      </c>
      <c r="F11" s="565">
        <v>4364.7216451167387</v>
      </c>
      <c r="G11" s="557">
        <v>888.28562532861781</v>
      </c>
      <c r="H11" s="557">
        <v>373.18</v>
      </c>
      <c r="I11" s="45">
        <f t="shared" si="1"/>
        <v>5626.1872704453572</v>
      </c>
      <c r="J11" s="565">
        <v>4589.3505860104751</v>
      </c>
      <c r="K11" s="557">
        <v>888.28562532861781</v>
      </c>
      <c r="L11" s="557">
        <v>373.18</v>
      </c>
      <c r="M11" s="45">
        <f t="shared" si="2"/>
        <v>5850.8162113390936</v>
      </c>
      <c r="N11" s="565">
        <v>5413.6147412858727</v>
      </c>
      <c r="O11" s="557">
        <v>888.28562532861781</v>
      </c>
      <c r="P11" s="557">
        <v>373.18</v>
      </c>
      <c r="Q11" s="45">
        <f t="shared" si="3"/>
        <v>6675.0803666144911</v>
      </c>
      <c r="R11" s="141"/>
      <c r="S11" s="557">
        <v>3870.6678530329991</v>
      </c>
      <c r="T11" s="557">
        <v>1013.04</v>
      </c>
      <c r="U11" s="45">
        <f t="shared" si="4"/>
        <v>4883.7078530329991</v>
      </c>
    </row>
    <row r="12" spans="1:21">
      <c r="A12" s="153" t="s">
        <v>8</v>
      </c>
      <c r="B12" s="565">
        <v>1450.0172593464001</v>
      </c>
      <c r="C12" s="557">
        <v>515.2781532122292</v>
      </c>
      <c r="D12" s="557">
        <v>246.24333484162895</v>
      </c>
      <c r="E12" s="45">
        <f t="shared" si="0"/>
        <v>2211.5387474002582</v>
      </c>
      <c r="F12" s="565">
        <v>8729.4432902334775</v>
      </c>
      <c r="G12" s="557">
        <v>1156.5714159798322</v>
      </c>
      <c r="H12" s="557">
        <v>373.18</v>
      </c>
      <c r="I12" s="45">
        <f t="shared" si="1"/>
        <v>10259.194706213309</v>
      </c>
      <c r="J12" s="565">
        <v>9178.7011720209503</v>
      </c>
      <c r="K12" s="557">
        <v>1156.5714159798322</v>
      </c>
      <c r="L12" s="557">
        <v>373.18</v>
      </c>
      <c r="M12" s="45">
        <f t="shared" si="2"/>
        <v>10708.452588000782</v>
      </c>
      <c r="N12" s="565">
        <v>7218.1529883811636</v>
      </c>
      <c r="O12" s="557">
        <v>1156.5714159798322</v>
      </c>
      <c r="P12" s="557">
        <v>373.18</v>
      </c>
      <c r="Q12" s="45">
        <f t="shared" si="3"/>
        <v>8747.9044043609956</v>
      </c>
      <c r="R12" s="141"/>
      <c r="S12" s="557">
        <v>3870.6678530329991</v>
      </c>
      <c r="T12" s="557">
        <v>1013.04</v>
      </c>
      <c r="U12" s="45">
        <f t="shared" si="4"/>
        <v>4883.7078530329991</v>
      </c>
    </row>
    <row r="13" spans="1:21">
      <c r="A13" s="153" t="s">
        <v>9</v>
      </c>
      <c r="B13" s="565">
        <v>3184.4593349418897</v>
      </c>
      <c r="C13" s="557">
        <v>830.17368518837884</v>
      </c>
      <c r="D13" s="557">
        <v>246.24333484162895</v>
      </c>
      <c r="E13" s="45">
        <f t="shared" si="0"/>
        <v>4260.8763549718979</v>
      </c>
      <c r="F13" s="565">
        <v>17458.886580466955</v>
      </c>
      <c r="G13" s="557">
        <v>1781.4759788251249</v>
      </c>
      <c r="H13" s="557">
        <v>373.18</v>
      </c>
      <c r="I13" s="45">
        <f t="shared" si="1"/>
        <v>19613.54255929208</v>
      </c>
      <c r="J13" s="565">
        <v>18357.402344041901</v>
      </c>
      <c r="K13" s="557">
        <v>1781.4759788251249</v>
      </c>
      <c r="L13" s="557">
        <v>373.18</v>
      </c>
      <c r="M13" s="45">
        <f t="shared" si="2"/>
        <v>20512.058322867026</v>
      </c>
      <c r="N13" s="565">
        <v>10827.229482571745</v>
      </c>
      <c r="O13" s="557">
        <v>1156.5714159798322</v>
      </c>
      <c r="P13" s="557">
        <v>373.18</v>
      </c>
      <c r="Q13" s="45">
        <f t="shared" si="3"/>
        <v>12356.980898551577</v>
      </c>
      <c r="R13" s="141"/>
      <c r="S13" s="557">
        <v>3870.6678530329991</v>
      </c>
      <c r="T13" s="557">
        <v>1013.04</v>
      </c>
      <c r="U13" s="45">
        <f t="shared" si="4"/>
        <v>4883.7078530329991</v>
      </c>
    </row>
    <row r="14" spans="1:21">
      <c r="A14" s="153" t="s">
        <v>10</v>
      </c>
      <c r="B14" s="565">
        <v>3052.2140189408547</v>
      </c>
      <c r="C14" s="557">
        <v>1578.4436203767575</v>
      </c>
      <c r="D14" s="557">
        <v>246.24333484162895</v>
      </c>
      <c r="E14" s="45">
        <f t="shared" si="0"/>
        <v>4876.9009741592408</v>
      </c>
      <c r="F14" s="565">
        <v>10312.778791627177</v>
      </c>
      <c r="G14" s="557">
        <v>1781.4759788251249</v>
      </c>
      <c r="H14" s="557">
        <v>373.18</v>
      </c>
      <c r="I14" s="45">
        <f t="shared" si="1"/>
        <v>12467.434770452302</v>
      </c>
      <c r="J14" s="565">
        <v>10632.265611560561</v>
      </c>
      <c r="K14" s="557">
        <v>1781.4759788251249</v>
      </c>
      <c r="L14" s="557">
        <v>373.18</v>
      </c>
      <c r="M14" s="45">
        <f t="shared" si="2"/>
        <v>12786.921590385686</v>
      </c>
      <c r="N14" s="565">
        <v>10827.229482571745</v>
      </c>
      <c r="O14" s="557">
        <v>1781.4759788251249</v>
      </c>
      <c r="P14" s="557">
        <v>373.18</v>
      </c>
      <c r="Q14" s="45">
        <f t="shared" si="3"/>
        <v>12981.885461396871</v>
      </c>
      <c r="R14" s="141"/>
      <c r="S14" s="557">
        <v>3870.6678530329991</v>
      </c>
      <c r="T14" s="557">
        <v>1013.04</v>
      </c>
      <c r="U14" s="45">
        <f t="shared" si="4"/>
        <v>4883.7078530329991</v>
      </c>
    </row>
    <row r="15" spans="1:21">
      <c r="A15" s="153" t="s">
        <v>11</v>
      </c>
      <c r="B15" s="565">
        <v>6104.4280378817093</v>
      </c>
      <c r="C15" s="557">
        <v>2326.7135555651362</v>
      </c>
      <c r="D15" s="557">
        <v>246.24333484162895</v>
      </c>
      <c r="E15" s="45">
        <f t="shared" si="0"/>
        <v>8677.3849282884748</v>
      </c>
      <c r="F15" s="565">
        <v>10312.778791627177</v>
      </c>
      <c r="G15" s="557">
        <v>3562.9519576502498</v>
      </c>
      <c r="H15" s="557">
        <v>373.18</v>
      </c>
      <c r="I15" s="45">
        <f t="shared" si="1"/>
        <v>14248.910749277427</v>
      </c>
      <c r="J15" s="565">
        <v>21264.531223121121</v>
      </c>
      <c r="K15" s="557">
        <v>3562.9519576502498</v>
      </c>
      <c r="L15" s="557">
        <v>373.18</v>
      </c>
      <c r="M15" s="45">
        <f t="shared" si="2"/>
        <v>25200.663180771371</v>
      </c>
      <c r="N15" s="565">
        <v>21654.458965143491</v>
      </c>
      <c r="O15" s="557">
        <v>1781.4759788251249</v>
      </c>
      <c r="P15" s="557">
        <v>373.18</v>
      </c>
      <c r="Q15" s="45">
        <f t="shared" si="3"/>
        <v>23809.114943968616</v>
      </c>
      <c r="R15" s="141"/>
      <c r="S15" s="557">
        <v>3870.6678530329991</v>
      </c>
      <c r="T15" s="557">
        <v>1013.04</v>
      </c>
      <c r="U15" s="45">
        <f t="shared" si="4"/>
        <v>4883.7078530329991</v>
      </c>
    </row>
    <row r="16" spans="1:21">
      <c r="A16" s="153" t="s">
        <v>120</v>
      </c>
      <c r="B16" s="565">
        <v>8622.4294367037546</v>
      </c>
      <c r="C16" s="557">
        <v>2326.7135555651362</v>
      </c>
      <c r="D16" s="557">
        <v>246.24333484162895</v>
      </c>
      <c r="E16" s="45">
        <f t="shared" si="0"/>
        <v>11195.38632711052</v>
      </c>
      <c r="F16" s="565">
        <v>20625.557583254355</v>
      </c>
      <c r="G16" s="557">
        <v>4799.9629618624504</v>
      </c>
      <c r="H16" s="557">
        <v>373.18</v>
      </c>
      <c r="I16" s="45">
        <f t="shared" si="1"/>
        <v>25798.700545116804</v>
      </c>
      <c r="J16" s="565">
        <v>11980.265558589947</v>
      </c>
      <c r="K16" s="557">
        <v>4799.9629618624504</v>
      </c>
      <c r="L16" s="557">
        <v>373.18</v>
      </c>
      <c r="M16" s="45">
        <f t="shared" si="2"/>
        <v>17153.408520452398</v>
      </c>
      <c r="N16" s="565">
        <v>11342.068843866331</v>
      </c>
      <c r="O16" s="557">
        <v>2399.9814809312252</v>
      </c>
      <c r="P16" s="557">
        <v>373.18</v>
      </c>
      <c r="Q16" s="45">
        <f t="shared" si="3"/>
        <v>14115.230324797556</v>
      </c>
      <c r="R16" s="141"/>
      <c r="S16" s="557">
        <v>3870.6678530329991</v>
      </c>
      <c r="T16" s="557">
        <v>1013.04</v>
      </c>
      <c r="U16" s="45">
        <f t="shared" si="4"/>
        <v>4883.7078530329991</v>
      </c>
    </row>
    <row r="17" spans="1:21">
      <c r="A17" s="153" t="s">
        <v>121</v>
      </c>
      <c r="B17" s="141"/>
      <c r="C17" s="126"/>
      <c r="D17" s="126"/>
      <c r="E17" s="45"/>
      <c r="F17" s="565">
        <v>20625.557583254355</v>
      </c>
      <c r="G17" s="557">
        <v>4799.9629618624504</v>
      </c>
      <c r="H17" s="557">
        <v>373.18</v>
      </c>
      <c r="I17" s="45">
        <f t="shared" si="1"/>
        <v>25798.700545116804</v>
      </c>
      <c r="J17" s="565">
        <v>11980.265558589947</v>
      </c>
      <c r="K17" s="557">
        <v>4799.9629618624504</v>
      </c>
      <c r="L17" s="557">
        <v>373.18</v>
      </c>
      <c r="M17" s="45">
        <f t="shared" si="2"/>
        <v>17153.408520452398</v>
      </c>
      <c r="N17" s="565">
        <v>11342.068843866331</v>
      </c>
      <c r="O17" s="557">
        <v>2399.9814809312252</v>
      </c>
      <c r="P17" s="557">
        <v>373.18</v>
      </c>
      <c r="Q17" s="45">
        <f t="shared" si="3"/>
        <v>14115.230324797556</v>
      </c>
      <c r="R17" s="141"/>
      <c r="S17" s="557">
        <v>3870.6678530329991</v>
      </c>
      <c r="T17" s="557">
        <v>1013.04</v>
      </c>
      <c r="U17" s="45">
        <f t="shared" si="4"/>
        <v>4883.7078530329991</v>
      </c>
    </row>
    <row r="18" spans="1:21">
      <c r="A18" s="153" t="s">
        <v>12</v>
      </c>
      <c r="B18" s="141"/>
      <c r="C18" s="126"/>
      <c r="D18" s="126"/>
      <c r="E18" s="45"/>
      <c r="F18" s="141"/>
      <c r="G18" s="557"/>
      <c r="H18" s="126"/>
      <c r="I18" s="45"/>
      <c r="J18" s="565">
        <v>23960.531117179893</v>
      </c>
      <c r="K18" s="557">
        <v>7831.0276978534475</v>
      </c>
      <c r="L18" s="557">
        <v>373.18</v>
      </c>
      <c r="M18" s="45">
        <f t="shared" si="2"/>
        <v>32164.738815033343</v>
      </c>
      <c r="N18" s="565">
        <v>22684.137687732662</v>
      </c>
      <c r="O18" s="557">
        <v>3915.5138489267238</v>
      </c>
      <c r="P18" s="557">
        <v>373.18</v>
      </c>
      <c r="Q18" s="45">
        <f t="shared" si="3"/>
        <v>26972.831536659385</v>
      </c>
      <c r="R18" s="141"/>
      <c r="S18" s="557">
        <v>3870.6678530329991</v>
      </c>
      <c r="T18" s="557">
        <v>1013.04</v>
      </c>
      <c r="U18" s="45">
        <f t="shared" si="4"/>
        <v>4883.7078530329991</v>
      </c>
    </row>
    <row r="19" spans="1:21">
      <c r="A19" s="153" t="s">
        <v>13</v>
      </c>
      <c r="B19" s="141"/>
      <c r="C19" s="126"/>
      <c r="D19" s="126"/>
      <c r="E19" s="45"/>
      <c r="F19" s="141"/>
      <c r="G19" s="557"/>
      <c r="H19" s="126"/>
      <c r="I19" s="45"/>
      <c r="J19" s="565">
        <v>30684.970824404387</v>
      </c>
      <c r="K19" s="557">
        <v>11746.541546780172</v>
      </c>
      <c r="L19" s="557">
        <v>373.18</v>
      </c>
      <c r="M19" s="45">
        <f t="shared" si="2"/>
        <v>42804.692371184559</v>
      </c>
      <c r="N19" s="565">
        <v>22684.137687732662</v>
      </c>
      <c r="O19" s="557">
        <v>4799.9629618624504</v>
      </c>
      <c r="P19" s="557">
        <v>373.18</v>
      </c>
      <c r="Q19" s="45">
        <f t="shared" si="3"/>
        <v>27857.280649595112</v>
      </c>
      <c r="R19" s="141"/>
      <c r="S19" s="557">
        <v>3870.6678530329991</v>
      </c>
      <c r="T19" s="557">
        <v>1013.04</v>
      </c>
      <c r="U19" s="45">
        <f t="shared" si="4"/>
        <v>4883.7078530329991</v>
      </c>
    </row>
    <row r="20" spans="1:21">
      <c r="A20" s="153" t="s">
        <v>122</v>
      </c>
      <c r="B20" s="141"/>
      <c r="C20" s="126"/>
      <c r="D20" s="126"/>
      <c r="E20" s="45"/>
      <c r="F20" s="141"/>
      <c r="G20" s="557"/>
      <c r="H20" s="126"/>
      <c r="I20" s="45"/>
      <c r="J20" s="565">
        <v>20736.649964965192</v>
      </c>
      <c r="K20" s="557">
        <v>11746.541546780172</v>
      </c>
      <c r="L20" s="557">
        <v>373.18</v>
      </c>
      <c r="M20" s="45">
        <f t="shared" si="2"/>
        <v>32856.371511745361</v>
      </c>
      <c r="N20" s="565">
        <v>17521.618447137709</v>
      </c>
      <c r="O20" s="557">
        <v>4799.9629618624504</v>
      </c>
      <c r="P20" s="557">
        <v>373.18</v>
      </c>
      <c r="Q20" s="45">
        <f>SUM(N20:P20)</f>
        <v>22694.761409000159</v>
      </c>
      <c r="R20" s="141"/>
      <c r="S20" s="557">
        <v>3870.6678530329991</v>
      </c>
      <c r="T20" s="557">
        <v>1013.04</v>
      </c>
      <c r="U20" s="45">
        <f>SUM(R20:T20)</f>
        <v>4883.7078530329991</v>
      </c>
    </row>
    <row r="21" spans="1:21">
      <c r="A21" s="153" t="s">
        <v>123</v>
      </c>
      <c r="B21" s="141"/>
      <c r="C21" s="126"/>
      <c r="D21" s="126"/>
      <c r="E21" s="45"/>
      <c r="F21" s="141"/>
      <c r="G21" s="557"/>
      <c r="H21" s="126"/>
      <c r="I21" s="45"/>
      <c r="J21" s="565">
        <v>20736.649964965192</v>
      </c>
      <c r="K21" s="557">
        <v>11746.541546780172</v>
      </c>
      <c r="L21" s="557">
        <v>373.18</v>
      </c>
      <c r="M21" s="45">
        <f t="shared" si="2"/>
        <v>32856.371511745361</v>
      </c>
      <c r="N21" s="565">
        <v>17521.618447137709</v>
      </c>
      <c r="O21" s="557">
        <v>4799.9629618624504</v>
      </c>
      <c r="P21" s="557">
        <v>373.18</v>
      </c>
      <c r="Q21" s="45">
        <f t="shared" si="3"/>
        <v>22694.761409000159</v>
      </c>
      <c r="R21" s="141"/>
      <c r="S21" s="557">
        <v>3870.6678530329991</v>
      </c>
      <c r="T21" s="557">
        <v>1013.04</v>
      </c>
      <c r="U21" s="45">
        <f t="shared" ref="U21:U30" si="5">SUM(R21:T21)</f>
        <v>4883.7078530329991</v>
      </c>
    </row>
    <row r="22" spans="1:21">
      <c r="A22" s="153" t="s">
        <v>14</v>
      </c>
      <c r="B22" s="141"/>
      <c r="C22" s="126"/>
      <c r="D22" s="126"/>
      <c r="E22" s="45"/>
      <c r="F22" s="141"/>
      <c r="G22" s="557"/>
      <c r="H22" s="126"/>
      <c r="I22" s="45"/>
      <c r="J22" s="565">
        <v>20736.649964965192</v>
      </c>
      <c r="K22" s="557">
        <v>15662.055395706895</v>
      </c>
      <c r="L22" s="557">
        <v>373.18</v>
      </c>
      <c r="M22" s="45">
        <f t="shared" si="2"/>
        <v>36771.885360672088</v>
      </c>
      <c r="N22" s="565">
        <v>17521.618447137709</v>
      </c>
      <c r="O22" s="557">
        <v>7831.0276978534475</v>
      </c>
      <c r="P22" s="557">
        <v>373.18</v>
      </c>
      <c r="Q22" s="45">
        <f t="shared" si="3"/>
        <v>25725.826144991159</v>
      </c>
      <c r="R22" s="141"/>
      <c r="S22" s="557">
        <v>3870.6678530329991</v>
      </c>
      <c r="T22" s="557">
        <v>1013.04</v>
      </c>
      <c r="U22" s="45">
        <f t="shared" si="5"/>
        <v>4883.7078530329991</v>
      </c>
    </row>
    <row r="23" spans="1:21">
      <c r="A23" s="153" t="s">
        <v>15</v>
      </c>
      <c r="B23" s="141"/>
      <c r="C23" s="126"/>
      <c r="D23" s="126"/>
      <c r="E23" s="45"/>
      <c r="F23" s="141"/>
      <c r="G23" s="557"/>
      <c r="H23" s="126"/>
      <c r="I23" s="45"/>
      <c r="J23" s="565">
        <v>24346.636715062614</v>
      </c>
      <c r="K23" s="557">
        <v>19577.569244633622</v>
      </c>
      <c r="L23" s="557">
        <v>373.18</v>
      </c>
      <c r="M23" s="45">
        <f t="shared" si="2"/>
        <v>44297.385959696236</v>
      </c>
      <c r="N23" s="565">
        <v>21241.565827961535</v>
      </c>
      <c r="O23" s="557">
        <v>7831.0276978534475</v>
      </c>
      <c r="P23" s="557">
        <v>373.18</v>
      </c>
      <c r="Q23" s="45">
        <f t="shared" si="3"/>
        <v>29445.773525814984</v>
      </c>
      <c r="R23" s="141"/>
      <c r="S23" s="557">
        <v>3870.6678530329991</v>
      </c>
      <c r="T23" s="557">
        <v>1013.04</v>
      </c>
      <c r="U23" s="45">
        <f t="shared" si="5"/>
        <v>4883.7078530329991</v>
      </c>
    </row>
    <row r="24" spans="1:21">
      <c r="A24" s="153" t="s">
        <v>16</v>
      </c>
      <c r="B24" s="141"/>
      <c r="C24" s="126"/>
      <c r="D24" s="126"/>
      <c r="E24" s="45"/>
      <c r="F24" s="141"/>
      <c r="G24" s="126"/>
      <c r="H24" s="126"/>
      <c r="I24" s="45"/>
      <c r="J24" s="565">
        <v>48693.273430125228</v>
      </c>
      <c r="K24" s="557">
        <v>23493.083093560344</v>
      </c>
      <c r="L24" s="557">
        <v>373.18</v>
      </c>
      <c r="M24" s="45">
        <f>SUM(J24:L24)</f>
        <v>72559.536523685558</v>
      </c>
      <c r="N24" s="565">
        <v>42483.131655923069</v>
      </c>
      <c r="O24" s="557">
        <v>7831.0276978534475</v>
      </c>
      <c r="P24" s="557">
        <v>373.18</v>
      </c>
      <c r="Q24" s="45">
        <f t="shared" si="3"/>
        <v>50687.339353776515</v>
      </c>
      <c r="R24" s="141"/>
      <c r="S24" s="557">
        <v>3870.6678530329991</v>
      </c>
      <c r="T24" s="557">
        <v>1013.04</v>
      </c>
      <c r="U24" s="45">
        <f t="shared" si="5"/>
        <v>4883.7078530329991</v>
      </c>
    </row>
    <row r="25" spans="1:21">
      <c r="A25" s="153" t="s">
        <v>17</v>
      </c>
      <c r="B25" s="141"/>
      <c r="C25" s="126"/>
      <c r="D25" s="126"/>
      <c r="E25" s="45"/>
      <c r="F25" s="141"/>
      <c r="G25" s="126"/>
      <c r="H25" s="126"/>
      <c r="I25" s="45"/>
      <c r="J25" s="565">
        <v>48693.273430125228</v>
      </c>
      <c r="K25" s="557">
        <v>35239.624640340517</v>
      </c>
      <c r="L25" s="557">
        <v>373.18</v>
      </c>
      <c r="M25" s="45">
        <f>SUM(J25:L25)</f>
        <v>84306.078070465737</v>
      </c>
      <c r="N25" s="565">
        <v>24541.349087566312</v>
      </c>
      <c r="O25" s="557">
        <v>11746.541546780172</v>
      </c>
      <c r="P25" s="557">
        <v>373.18</v>
      </c>
      <c r="Q25" s="45">
        <f t="shared" si="3"/>
        <v>36661.070634346484</v>
      </c>
      <c r="R25" s="141"/>
      <c r="S25" s="557">
        <v>3870.6678530329991</v>
      </c>
      <c r="T25" s="557">
        <v>1013.04</v>
      </c>
      <c r="U25" s="45">
        <f t="shared" si="5"/>
        <v>4883.7078530329991</v>
      </c>
    </row>
    <row r="26" spans="1:21">
      <c r="A26" s="153" t="s">
        <v>18</v>
      </c>
      <c r="B26" s="141"/>
      <c r="C26" s="126"/>
      <c r="D26" s="126"/>
      <c r="E26" s="45"/>
      <c r="F26" s="141"/>
      <c r="G26" s="126"/>
      <c r="H26" s="126"/>
      <c r="I26" s="45"/>
      <c r="J26" s="565">
        <v>48693.273430125228</v>
      </c>
      <c r="K26" s="557">
        <v>46986.166187120689</v>
      </c>
      <c r="L26" s="557">
        <v>373.18</v>
      </c>
      <c r="M26" s="45">
        <f>SUM(J26:L26)</f>
        <v>96052.619617245917</v>
      </c>
      <c r="N26" s="565">
        <v>49082.698175132624</v>
      </c>
      <c r="O26" s="557">
        <v>15662.055395706895</v>
      </c>
      <c r="P26" s="557">
        <v>373.18</v>
      </c>
      <c r="Q26" s="45">
        <f t="shared" si="3"/>
        <v>65117.933570839516</v>
      </c>
      <c r="R26" s="141"/>
      <c r="S26" s="557">
        <v>3870.6678530329991</v>
      </c>
      <c r="T26" s="557">
        <v>1013.04</v>
      </c>
      <c r="U26" s="45">
        <f t="shared" si="5"/>
        <v>4883.7078530329991</v>
      </c>
    </row>
    <row r="27" spans="1:21">
      <c r="A27" s="153" t="s">
        <v>19</v>
      </c>
      <c r="B27" s="141"/>
      <c r="C27" s="126"/>
      <c r="D27" s="126"/>
      <c r="E27" s="45"/>
      <c r="F27" s="141"/>
      <c r="G27" s="126"/>
      <c r="H27" s="126"/>
      <c r="I27" s="45"/>
      <c r="J27" s="565">
        <v>48693.273430125228</v>
      </c>
      <c r="K27" s="557">
        <v>46986.166187120689</v>
      </c>
      <c r="L27" s="557">
        <v>373.18</v>
      </c>
      <c r="M27" s="45">
        <f>SUM(J27:L27)</f>
        <v>96052.619617245917</v>
      </c>
      <c r="N27" s="565">
        <v>49082.698175132624</v>
      </c>
      <c r="O27" s="557">
        <v>19577.569244633622</v>
      </c>
      <c r="P27" s="557">
        <v>373.18</v>
      </c>
      <c r="Q27" s="45">
        <f t="shared" si="3"/>
        <v>69033.447419766235</v>
      </c>
      <c r="R27" s="141"/>
      <c r="S27" s="557">
        <v>3870.6678530329991</v>
      </c>
      <c r="T27" s="557">
        <v>1013.04</v>
      </c>
      <c r="U27" s="45">
        <f t="shared" si="5"/>
        <v>4883.7078530329991</v>
      </c>
    </row>
    <row r="28" spans="1:21">
      <c r="A28" s="153" t="s">
        <v>20</v>
      </c>
      <c r="B28" s="141"/>
      <c r="C28" s="126"/>
      <c r="D28" s="126"/>
      <c r="E28" s="45"/>
      <c r="F28" s="141"/>
      <c r="G28" s="126"/>
      <c r="H28" s="126"/>
      <c r="I28" s="45"/>
      <c r="J28" s="565">
        <v>48693.273430125228</v>
      </c>
      <c r="K28" s="557">
        <v>46986.166187120689</v>
      </c>
      <c r="L28" s="557">
        <v>373.18</v>
      </c>
      <c r="M28" s="45">
        <f>SUM(J28:L28)</f>
        <v>96052.619617245917</v>
      </c>
      <c r="N28" s="565">
        <v>62400.892927889297</v>
      </c>
      <c r="O28" s="557">
        <v>31324.11079141379</v>
      </c>
      <c r="P28" s="557">
        <v>373.18</v>
      </c>
      <c r="Q28" s="45">
        <f t="shared" si="3"/>
        <v>94098.183719303081</v>
      </c>
      <c r="R28" s="141"/>
      <c r="S28" s="557">
        <v>3870.6678530329991</v>
      </c>
      <c r="T28" s="557">
        <v>1013.04</v>
      </c>
      <c r="U28" s="45">
        <f t="shared" si="5"/>
        <v>4883.7078530329991</v>
      </c>
    </row>
    <row r="29" spans="1:21">
      <c r="A29" s="153" t="s">
        <v>21</v>
      </c>
      <c r="B29" s="141"/>
      <c r="C29" s="126"/>
      <c r="D29" s="126"/>
      <c r="E29" s="45"/>
      <c r="F29" s="141"/>
      <c r="G29" s="126"/>
      <c r="H29" s="126"/>
      <c r="I29" s="45"/>
      <c r="J29" s="141"/>
      <c r="K29" s="126"/>
      <c r="L29" s="126"/>
      <c r="M29" s="45"/>
      <c r="N29" s="565">
        <v>62400.892927889297</v>
      </c>
      <c r="O29" s="557">
        <v>39155.138489267243</v>
      </c>
      <c r="P29" s="557">
        <v>373.18</v>
      </c>
      <c r="Q29" s="45">
        <f t="shared" si="3"/>
        <v>101929.21141715653</v>
      </c>
      <c r="R29" s="141"/>
      <c r="S29" s="557">
        <v>3870.6678530329991</v>
      </c>
      <c r="T29" s="557">
        <v>1013.04</v>
      </c>
      <c r="U29" s="45">
        <f t="shared" si="5"/>
        <v>4883.7078530329991</v>
      </c>
    </row>
    <row r="30" spans="1:21">
      <c r="A30" s="153" t="s">
        <v>22</v>
      </c>
      <c r="B30" s="141"/>
      <c r="C30" s="126"/>
      <c r="D30" s="126"/>
      <c r="E30" s="45"/>
      <c r="F30" s="141"/>
      <c r="G30" s="126"/>
      <c r="H30" s="126"/>
      <c r="I30" s="45"/>
      <c r="J30" s="141"/>
      <c r="K30" s="23"/>
      <c r="L30" s="23"/>
      <c r="M30" s="45"/>
      <c r="N30" s="565">
        <v>68150.567841889278</v>
      </c>
      <c r="O30" s="557">
        <v>46986.166187120689</v>
      </c>
      <c r="P30" s="557">
        <v>373.18</v>
      </c>
      <c r="Q30" s="45">
        <f t="shared" si="3"/>
        <v>115509.91402900996</v>
      </c>
      <c r="R30" s="141"/>
      <c r="S30" s="557">
        <v>3870.6678530329991</v>
      </c>
      <c r="T30" s="557">
        <v>1013.04</v>
      </c>
      <c r="U30" s="45">
        <f t="shared" si="5"/>
        <v>4883.7078530329991</v>
      </c>
    </row>
    <row r="31" spans="1:21">
      <c r="A31" s="153" t="s">
        <v>23</v>
      </c>
      <c r="B31" s="141"/>
      <c r="C31" s="126"/>
      <c r="D31" s="126"/>
      <c r="E31" s="45"/>
      <c r="F31" s="141"/>
      <c r="G31" s="126"/>
      <c r="H31" s="126"/>
      <c r="I31" s="45"/>
      <c r="J31" s="141"/>
      <c r="K31" s="23"/>
      <c r="L31" s="23"/>
      <c r="M31" s="45"/>
      <c r="N31" s="565"/>
      <c r="O31" s="126"/>
      <c r="P31" s="126"/>
      <c r="Q31" s="45"/>
      <c r="R31" s="141"/>
      <c r="S31" s="126"/>
      <c r="T31" s="126"/>
      <c r="U31" s="45"/>
    </row>
    <row r="32" spans="1:21">
      <c r="A32" s="153" t="s">
        <v>24</v>
      </c>
      <c r="B32" s="141"/>
      <c r="C32" s="126"/>
      <c r="D32" s="126"/>
      <c r="E32" s="45"/>
      <c r="F32" s="141"/>
      <c r="G32" s="126"/>
      <c r="H32" s="126"/>
      <c r="I32" s="45"/>
      <c r="J32" s="141"/>
      <c r="K32" s="23"/>
      <c r="L32" s="23"/>
      <c r="M32" s="45"/>
      <c r="N32" s="141"/>
      <c r="O32" s="126"/>
      <c r="P32" s="126"/>
      <c r="Q32" s="45"/>
      <c r="R32" s="141"/>
      <c r="S32" s="126"/>
      <c r="T32" s="126"/>
      <c r="U32" s="45"/>
    </row>
    <row r="33" spans="1:21">
      <c r="A33" s="153" t="s">
        <v>25</v>
      </c>
      <c r="B33" s="141"/>
      <c r="C33" s="126"/>
      <c r="D33" s="126"/>
      <c r="E33" s="45"/>
      <c r="F33" s="141"/>
      <c r="G33" s="126"/>
      <c r="H33" s="126"/>
      <c r="I33" s="45"/>
      <c r="J33" s="141"/>
      <c r="K33" s="23"/>
      <c r="L33" s="23"/>
      <c r="M33" s="45"/>
      <c r="N33" s="141"/>
      <c r="O33" s="126"/>
      <c r="P33" s="126"/>
      <c r="Q33" s="45"/>
      <c r="R33" s="141"/>
      <c r="S33" s="126"/>
      <c r="T33" s="126"/>
      <c r="U33" s="45"/>
    </row>
    <row r="34" spans="1:21">
      <c r="A34" s="153" t="s">
        <v>125</v>
      </c>
      <c r="B34" s="141"/>
      <c r="C34" s="126"/>
      <c r="D34" s="126"/>
      <c r="E34" s="45"/>
      <c r="F34" s="141"/>
      <c r="G34" s="126"/>
      <c r="H34" s="23"/>
      <c r="I34" s="45"/>
      <c r="J34" s="137"/>
      <c r="K34" s="23"/>
      <c r="L34" s="23"/>
      <c r="M34" s="45"/>
      <c r="N34" s="141"/>
      <c r="O34" s="126"/>
      <c r="P34" s="126"/>
      <c r="Q34" s="24"/>
      <c r="R34" s="141"/>
      <c r="S34" s="126"/>
      <c r="T34" s="126"/>
      <c r="U34" s="45"/>
    </row>
    <row r="35" spans="1:21">
      <c r="A35" s="153" t="s">
        <v>126</v>
      </c>
      <c r="B35" s="141"/>
      <c r="C35" s="126"/>
      <c r="D35" s="23"/>
      <c r="E35" s="45"/>
      <c r="F35" s="141"/>
      <c r="G35" s="126"/>
      <c r="H35" s="23"/>
      <c r="I35" s="45"/>
      <c r="J35" s="137"/>
      <c r="K35" s="23"/>
      <c r="L35" s="23"/>
      <c r="M35" s="45"/>
      <c r="N35" s="141"/>
      <c r="O35" s="126"/>
      <c r="P35" s="23"/>
      <c r="Q35" s="14"/>
      <c r="R35" s="141"/>
      <c r="S35" s="126"/>
      <c r="T35" s="126"/>
      <c r="U35" s="45"/>
    </row>
    <row r="36" spans="1:21">
      <c r="A36" s="153" t="s">
        <v>26</v>
      </c>
      <c r="B36" s="141"/>
      <c r="C36" s="126"/>
      <c r="D36" s="23"/>
      <c r="E36" s="45"/>
      <c r="F36" s="141"/>
      <c r="G36" s="126"/>
      <c r="H36" s="23"/>
      <c r="I36" s="45"/>
      <c r="J36" s="137"/>
      <c r="K36" s="23"/>
      <c r="L36" s="23"/>
      <c r="M36" s="45"/>
      <c r="N36" s="141"/>
      <c r="O36" s="126"/>
      <c r="P36" s="23"/>
      <c r="Q36" s="14"/>
      <c r="R36" s="141"/>
      <c r="S36" s="126"/>
      <c r="T36" s="126"/>
      <c r="U36" s="45"/>
    </row>
    <row r="37" spans="1:21">
      <c r="A37" s="153" t="s">
        <v>27</v>
      </c>
      <c r="B37" s="141"/>
      <c r="C37" s="126"/>
      <c r="D37" s="13"/>
      <c r="E37" s="14"/>
      <c r="F37" s="141"/>
      <c r="G37" s="126"/>
      <c r="H37" s="13"/>
      <c r="I37" s="14"/>
      <c r="J37" s="135"/>
      <c r="K37" s="13"/>
      <c r="L37" s="13"/>
      <c r="M37" s="14"/>
      <c r="N37" s="141"/>
      <c r="O37" s="126"/>
      <c r="P37" s="13"/>
      <c r="Q37" s="14"/>
      <c r="R37" s="141"/>
      <c r="S37" s="126"/>
      <c r="T37" s="126"/>
      <c r="U37" s="45"/>
    </row>
    <row r="38" spans="1:21" ht="13.5" thickBot="1">
      <c r="A38" s="243"/>
      <c r="B38" s="15"/>
      <c r="C38" s="32"/>
      <c r="D38" s="32"/>
      <c r="E38" s="106"/>
      <c r="F38" s="15"/>
      <c r="G38" s="32"/>
      <c r="H38" s="32"/>
      <c r="I38" s="106"/>
      <c r="J38" s="15"/>
      <c r="K38" s="32"/>
      <c r="L38" s="32"/>
      <c r="M38" s="106"/>
      <c r="N38" s="274"/>
      <c r="O38" s="275"/>
      <c r="P38" s="32"/>
      <c r="Q38" s="106"/>
      <c r="R38" s="274"/>
      <c r="S38" s="275"/>
      <c r="T38" s="32"/>
      <c r="U38" s="106"/>
    </row>
    <row r="39" spans="1:21">
      <c r="A39" s="149"/>
      <c r="B39" s="320"/>
      <c r="C39" s="320"/>
      <c r="D39" s="320"/>
      <c r="E39" s="320"/>
      <c r="F39" s="320"/>
      <c r="G39" s="320"/>
      <c r="H39" s="320"/>
      <c r="I39" s="320"/>
      <c r="J39" s="320"/>
      <c r="K39" s="320"/>
      <c r="L39" s="320"/>
      <c r="M39" s="320"/>
      <c r="N39" s="320"/>
      <c r="O39" s="320"/>
      <c r="P39" s="320"/>
      <c r="Q39" s="320"/>
      <c r="R39" s="320"/>
      <c r="S39" s="320"/>
      <c r="T39" s="320"/>
      <c r="U39" s="575"/>
    </row>
    <row r="40" spans="1:21">
      <c r="A40" s="33" t="s">
        <v>376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01"/>
    </row>
    <row r="41" spans="1:21">
      <c r="A41" s="33"/>
      <c r="B41" s="600" t="s">
        <v>473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01"/>
    </row>
    <row r="42" spans="1:21" ht="13.5" thickBot="1">
      <c r="A42" s="15"/>
      <c r="B42" s="597" t="s">
        <v>375</v>
      </c>
      <c r="C42" s="583"/>
      <c r="D42" s="583"/>
      <c r="E42" s="583"/>
      <c r="F42" s="585"/>
      <c r="G42" s="585"/>
      <c r="H42" s="585"/>
      <c r="I42" s="585"/>
      <c r="J42" s="583"/>
      <c r="K42" s="583"/>
      <c r="L42" s="583"/>
      <c r="M42" s="583"/>
      <c r="N42" s="583"/>
      <c r="O42" s="583"/>
      <c r="P42" s="583"/>
      <c r="Q42" s="583"/>
      <c r="R42" s="583"/>
      <c r="S42" s="583"/>
      <c r="T42" s="583"/>
      <c r="U42" s="586"/>
    </row>
    <row r="43" spans="1:21">
      <c r="B43" s="544"/>
      <c r="C43" s="544"/>
      <c r="D43" s="544"/>
      <c r="E43" s="544"/>
      <c r="F43" s="468"/>
      <c r="G43" s="468"/>
      <c r="H43" s="468"/>
      <c r="I43" s="468"/>
      <c r="J43" s="544"/>
      <c r="K43" s="544"/>
      <c r="L43" s="544"/>
      <c r="M43" s="544"/>
      <c r="N43" s="544"/>
      <c r="O43" s="544"/>
      <c r="P43" s="544"/>
      <c r="Q43" s="544"/>
      <c r="R43" s="544"/>
      <c r="S43" s="544"/>
      <c r="T43" s="544"/>
      <c r="U43" s="544"/>
    </row>
    <row r="44" spans="1:21">
      <c r="B44" s="544"/>
      <c r="C44" s="544"/>
      <c r="D44" s="544"/>
      <c r="E44" s="544"/>
      <c r="F44" s="468"/>
      <c r="G44" s="468"/>
      <c r="H44" s="468"/>
      <c r="I44" s="468"/>
      <c r="J44" s="544"/>
      <c r="K44" s="544"/>
      <c r="L44" s="544"/>
      <c r="M44" s="544"/>
      <c r="N44" s="544"/>
      <c r="O44" s="544"/>
      <c r="P44" s="544"/>
      <c r="Q44" s="544"/>
      <c r="R44" s="544"/>
      <c r="S44" s="544"/>
      <c r="T44" s="544"/>
      <c r="U44" s="544"/>
    </row>
    <row r="45" spans="1:21">
      <c r="B45" s="544"/>
      <c r="C45" s="544"/>
      <c r="D45" s="544"/>
      <c r="E45" s="544"/>
      <c r="F45" s="468"/>
      <c r="G45" s="468"/>
      <c r="H45" s="468"/>
      <c r="I45" s="468"/>
      <c r="J45" s="544"/>
      <c r="K45" s="544"/>
      <c r="L45" s="544"/>
      <c r="M45" s="544"/>
      <c r="N45" s="544"/>
      <c r="O45" s="544"/>
      <c r="P45" s="544"/>
      <c r="Q45" s="544"/>
      <c r="R45" s="544"/>
      <c r="S45" s="544"/>
      <c r="T45" s="544"/>
      <c r="U45" s="544"/>
    </row>
    <row r="46" spans="1:21">
      <c r="B46" s="544"/>
      <c r="C46" s="544"/>
      <c r="D46" s="544"/>
      <c r="E46" s="544"/>
      <c r="F46" s="468"/>
      <c r="G46" s="468"/>
      <c r="H46" s="468"/>
      <c r="I46" s="468"/>
      <c r="J46" s="544"/>
      <c r="K46" s="544"/>
      <c r="L46" s="544"/>
      <c r="M46" s="544"/>
      <c r="N46" s="544"/>
      <c r="O46" s="544"/>
      <c r="P46" s="544"/>
      <c r="Q46" s="544"/>
      <c r="R46" s="544"/>
      <c r="S46" s="544"/>
      <c r="T46" s="544"/>
      <c r="U46" s="544"/>
    </row>
    <row r="47" spans="1:21">
      <c r="B47" s="544"/>
      <c r="C47" s="544"/>
      <c r="D47" s="544"/>
      <c r="E47" s="544"/>
      <c r="F47" s="468"/>
      <c r="G47" s="468"/>
      <c r="H47" s="468"/>
      <c r="I47" s="468"/>
      <c r="J47" s="544"/>
      <c r="K47" s="544"/>
      <c r="L47" s="544"/>
      <c r="M47" s="544"/>
      <c r="N47" s="544"/>
      <c r="O47" s="544"/>
      <c r="P47" s="544"/>
      <c r="Q47" s="544"/>
      <c r="R47" s="544"/>
      <c r="S47" s="544"/>
      <c r="T47" s="544"/>
      <c r="U47" s="544"/>
    </row>
    <row r="48" spans="1:21">
      <c r="B48" s="544"/>
      <c r="C48" s="544"/>
      <c r="D48" s="544"/>
      <c r="E48" s="544"/>
      <c r="F48" s="468"/>
      <c r="G48" s="468"/>
      <c r="H48" s="468"/>
      <c r="I48" s="468"/>
      <c r="J48" s="544"/>
      <c r="K48" s="544"/>
      <c r="L48" s="544"/>
      <c r="M48" s="544"/>
      <c r="N48" s="544"/>
      <c r="O48" s="544"/>
      <c r="P48" s="544"/>
      <c r="Q48" s="544"/>
      <c r="R48" s="544"/>
      <c r="S48" s="544"/>
      <c r="T48" s="544"/>
      <c r="U48" s="544"/>
    </row>
    <row r="49" spans="2:21">
      <c r="B49" s="544"/>
      <c r="C49" s="544"/>
      <c r="D49" s="544"/>
      <c r="E49" s="544"/>
      <c r="F49" s="468"/>
      <c r="G49" s="468"/>
      <c r="H49" s="468"/>
      <c r="I49" s="468"/>
      <c r="J49" s="544"/>
      <c r="K49" s="544"/>
      <c r="L49" s="544"/>
      <c r="M49" s="544"/>
      <c r="N49" s="544"/>
      <c r="O49" s="544"/>
      <c r="P49" s="544"/>
      <c r="Q49" s="544"/>
      <c r="R49" s="544"/>
      <c r="S49" s="544"/>
      <c r="T49" s="544"/>
      <c r="U49" s="544"/>
    </row>
    <row r="50" spans="2:21">
      <c r="B50" s="544"/>
      <c r="C50" s="544"/>
      <c r="D50" s="544"/>
      <c r="E50" s="544"/>
      <c r="F50" s="468"/>
      <c r="G50" s="468"/>
      <c r="H50" s="468"/>
      <c r="I50" s="468"/>
      <c r="J50" s="544"/>
      <c r="K50" s="544"/>
      <c r="L50" s="544"/>
      <c r="M50" s="544"/>
      <c r="N50" s="544"/>
      <c r="O50" s="544"/>
      <c r="P50" s="544"/>
      <c r="Q50" s="544"/>
      <c r="R50" s="544"/>
      <c r="S50" s="544"/>
      <c r="T50" s="544"/>
      <c r="U50" s="544"/>
    </row>
    <row r="51" spans="2:21">
      <c r="F51" s="468"/>
      <c r="G51" s="468"/>
      <c r="H51" s="468"/>
      <c r="I51" s="468"/>
      <c r="J51" s="544"/>
      <c r="K51" s="544"/>
      <c r="L51" s="544"/>
      <c r="M51" s="544"/>
      <c r="N51" s="544"/>
      <c r="O51" s="544"/>
      <c r="P51" s="544"/>
      <c r="Q51" s="544"/>
      <c r="R51" s="544"/>
      <c r="S51" s="544"/>
      <c r="T51" s="544"/>
      <c r="U51" s="544"/>
    </row>
    <row r="52" spans="2:21">
      <c r="F52" s="468"/>
      <c r="G52" s="468"/>
      <c r="H52" s="468"/>
      <c r="I52" s="468"/>
      <c r="J52" s="544"/>
      <c r="K52" s="544"/>
      <c r="L52" s="544"/>
      <c r="M52" s="544"/>
      <c r="N52" s="544"/>
      <c r="O52" s="544"/>
      <c r="P52" s="544"/>
      <c r="Q52" s="544"/>
      <c r="R52" s="544"/>
      <c r="S52" s="544"/>
      <c r="T52" s="544"/>
      <c r="U52" s="544"/>
    </row>
    <row r="53" spans="2:21">
      <c r="J53" s="544"/>
      <c r="K53" s="544"/>
      <c r="L53" s="544"/>
      <c r="M53" s="544"/>
      <c r="N53" s="544"/>
      <c r="O53" s="544"/>
      <c r="P53" s="544"/>
      <c r="Q53" s="544"/>
      <c r="R53" s="544"/>
      <c r="S53" s="544"/>
      <c r="T53" s="544"/>
      <c r="U53" s="544"/>
    </row>
    <row r="54" spans="2:21">
      <c r="J54" s="544"/>
      <c r="K54" s="544"/>
      <c r="L54" s="544"/>
      <c r="M54" s="544"/>
      <c r="N54" s="544"/>
      <c r="O54" s="544"/>
      <c r="P54" s="544"/>
      <c r="Q54" s="544"/>
      <c r="R54" s="544"/>
      <c r="S54" s="544"/>
      <c r="T54" s="544"/>
      <c r="U54" s="544"/>
    </row>
    <row r="55" spans="2:21">
      <c r="J55" s="544"/>
      <c r="K55" s="544"/>
      <c r="L55" s="544"/>
      <c r="M55" s="544"/>
      <c r="N55" s="544"/>
      <c r="O55" s="544"/>
      <c r="P55" s="544"/>
      <c r="Q55" s="544"/>
      <c r="R55" s="544"/>
      <c r="S55" s="544"/>
      <c r="T55" s="544"/>
      <c r="U55" s="544"/>
    </row>
    <row r="56" spans="2:21">
      <c r="J56" s="544"/>
      <c r="K56" s="544"/>
      <c r="L56" s="544"/>
      <c r="M56" s="544"/>
      <c r="N56" s="544"/>
      <c r="O56" s="544"/>
      <c r="P56" s="544"/>
      <c r="Q56" s="544"/>
      <c r="R56" s="544"/>
      <c r="S56" s="544"/>
      <c r="T56" s="544"/>
      <c r="U56" s="544"/>
    </row>
    <row r="57" spans="2:21">
      <c r="J57" s="544"/>
      <c r="K57" s="544"/>
      <c r="L57" s="544"/>
      <c r="M57" s="544"/>
      <c r="N57" s="544"/>
      <c r="O57" s="544"/>
      <c r="P57" s="544"/>
      <c r="Q57" s="544"/>
      <c r="R57" s="544"/>
      <c r="S57" s="544"/>
      <c r="T57" s="544"/>
      <c r="U57" s="544"/>
    </row>
    <row r="58" spans="2:21">
      <c r="J58" s="544"/>
      <c r="K58" s="544"/>
      <c r="L58" s="544"/>
      <c r="M58" s="544"/>
      <c r="N58" s="544"/>
      <c r="O58" s="544"/>
      <c r="P58" s="544"/>
      <c r="Q58" s="544"/>
      <c r="R58" s="544"/>
      <c r="S58" s="544"/>
      <c r="T58" s="544"/>
      <c r="U58" s="544"/>
    </row>
    <row r="59" spans="2:21">
      <c r="J59" s="544"/>
      <c r="K59" s="544"/>
      <c r="L59" s="544"/>
      <c r="M59" s="544"/>
      <c r="N59" s="544"/>
      <c r="O59" s="544"/>
      <c r="P59" s="544"/>
      <c r="Q59" s="544"/>
      <c r="R59" s="544"/>
      <c r="S59" s="544"/>
      <c r="T59" s="544"/>
      <c r="U59" s="544"/>
    </row>
    <row r="60" spans="2:21">
      <c r="J60" s="544"/>
      <c r="K60" s="544"/>
      <c r="L60" s="544"/>
      <c r="M60" s="544"/>
      <c r="N60" s="544"/>
      <c r="O60" s="544"/>
      <c r="P60" s="544"/>
      <c r="Q60" s="544"/>
      <c r="R60" s="544"/>
      <c r="S60" s="544"/>
      <c r="T60" s="544"/>
      <c r="U60" s="544"/>
    </row>
    <row r="61" spans="2:21">
      <c r="J61" s="544"/>
      <c r="K61" s="544"/>
      <c r="L61" s="544"/>
      <c r="M61" s="544"/>
      <c r="N61" s="544"/>
      <c r="O61" s="544"/>
      <c r="P61" s="544"/>
      <c r="Q61" s="544"/>
      <c r="R61" s="544"/>
      <c r="S61" s="544"/>
      <c r="T61" s="544"/>
      <c r="U61" s="544"/>
    </row>
    <row r="62" spans="2:21">
      <c r="J62" s="544"/>
      <c r="K62" s="544"/>
      <c r="L62" s="544"/>
      <c r="M62" s="544"/>
      <c r="N62" s="544"/>
      <c r="O62" s="544"/>
      <c r="P62" s="544"/>
      <c r="Q62" s="544"/>
      <c r="R62" s="544"/>
      <c r="S62" s="544"/>
      <c r="T62" s="544"/>
      <c r="U62" s="544"/>
    </row>
    <row r="63" spans="2:21">
      <c r="J63" s="544"/>
      <c r="K63" s="544"/>
      <c r="L63" s="544"/>
      <c r="M63" s="544"/>
      <c r="N63" s="544"/>
      <c r="O63" s="544"/>
      <c r="P63" s="544"/>
      <c r="Q63" s="544"/>
      <c r="R63" s="544"/>
      <c r="S63" s="544"/>
      <c r="T63" s="544"/>
      <c r="U63" s="544"/>
    </row>
    <row r="64" spans="2:21">
      <c r="N64" s="544"/>
      <c r="O64" s="544"/>
      <c r="P64" s="544"/>
      <c r="Q64" s="544"/>
      <c r="R64" s="544"/>
      <c r="S64" s="544"/>
      <c r="T64" s="544"/>
      <c r="U64" s="544"/>
    </row>
    <row r="65" spans="17:17">
      <c r="Q65" s="543"/>
    </row>
    <row r="66" spans="17:17">
      <c r="Q66" s="543"/>
    </row>
    <row r="67" spans="17:17">
      <c r="Q67" s="543"/>
    </row>
  </sheetData>
  <mergeCells count="8">
    <mergeCell ref="A1:Q1"/>
    <mergeCell ref="B2:Q2"/>
    <mergeCell ref="R2:U2"/>
    <mergeCell ref="B3:E3"/>
    <mergeCell ref="F3:I3"/>
    <mergeCell ref="J3:M3"/>
    <mergeCell ref="N3:Q3"/>
    <mergeCell ref="R3:U3"/>
  </mergeCells>
  <printOptions horizontalCentered="1"/>
  <pageMargins left="0.75" right="0.75" top="1" bottom="1" header="0.5" footer="0.5"/>
  <pageSetup scale="30" orientation="portrait" r:id="rId1"/>
  <headerFooter alignWithMargins="0">
    <oddFooter>&amp;L&amp;F
&amp;A&amp;R&amp;P of &amp;N</oddFooter>
  </headerFooter>
  <colBreaks count="1" manualBreakCount="1">
    <brk id="17" max="41" man="1"/>
  </colBreaks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sheetPr codeName="Sheet80">
    <tabColor rgb="FF0070C0"/>
    <pageSetUpPr fitToPage="1"/>
  </sheetPr>
  <dimension ref="A1:J541"/>
  <sheetViews>
    <sheetView zoomScaleNormal="100" workbookViewId="0">
      <pane ySplit="3" topLeftCell="A4" activePane="bottomLeft" state="frozen"/>
      <selection activeCell="D15" sqref="D15"/>
      <selection pane="bottomLeft" activeCell="H3" sqref="H3"/>
    </sheetView>
  </sheetViews>
  <sheetFormatPr defaultRowHeight="12.75"/>
  <cols>
    <col min="1" max="1" width="29.28515625" customWidth="1"/>
    <col min="2" max="2" width="16" customWidth="1"/>
    <col min="3" max="5" width="15.42578125" customWidth="1"/>
    <col min="6" max="7" width="14.7109375" customWidth="1"/>
    <col min="8" max="8" width="12.7109375" customWidth="1"/>
  </cols>
  <sheetData>
    <row r="1" spans="1:8" ht="18.75" thickBot="1">
      <c r="A1" s="841" t="s">
        <v>393</v>
      </c>
      <c r="B1" s="841"/>
      <c r="C1" s="841"/>
      <c r="D1" s="841"/>
      <c r="E1" s="841"/>
      <c r="F1" s="841"/>
      <c r="G1" s="841"/>
      <c r="H1" s="841"/>
    </row>
    <row r="2" spans="1:8" ht="13.5" thickBot="1">
      <c r="A2" s="196"/>
      <c r="B2" s="827" t="s">
        <v>0</v>
      </c>
      <c r="C2" s="828"/>
      <c r="D2" s="828"/>
      <c r="E2" s="828"/>
      <c r="F2" s="829"/>
      <c r="G2" s="131"/>
      <c r="H2" s="647" t="s">
        <v>405</v>
      </c>
    </row>
    <row r="3" spans="1:8" ht="13.5" thickBot="1">
      <c r="A3" s="102" t="s">
        <v>4</v>
      </c>
      <c r="B3" s="98" t="s">
        <v>136</v>
      </c>
      <c r="C3" s="28" t="s">
        <v>114</v>
      </c>
      <c r="D3" s="28" t="s">
        <v>33</v>
      </c>
      <c r="E3" s="28" t="s">
        <v>137</v>
      </c>
      <c r="F3" s="651" t="s">
        <v>270</v>
      </c>
      <c r="G3" s="102" t="s">
        <v>1</v>
      </c>
      <c r="H3" s="651" t="s">
        <v>2</v>
      </c>
    </row>
    <row r="4" spans="1:8">
      <c r="A4" s="133"/>
      <c r="B4" s="132" t="s">
        <v>45</v>
      </c>
      <c r="C4" s="8" t="s">
        <v>45</v>
      </c>
      <c r="D4" s="8" t="s">
        <v>45</v>
      </c>
      <c r="E4" s="8" t="s">
        <v>45</v>
      </c>
      <c r="F4" s="9" t="s">
        <v>45</v>
      </c>
      <c r="G4" s="133" t="s">
        <v>45</v>
      </c>
      <c r="H4" s="7" t="s">
        <v>45</v>
      </c>
    </row>
    <row r="5" spans="1:8">
      <c r="A5" s="112"/>
      <c r="B5" s="132"/>
      <c r="C5" s="8"/>
      <c r="D5" s="8"/>
      <c r="E5" s="8"/>
      <c r="F5" s="9"/>
      <c r="G5" s="134"/>
      <c r="H5" s="9"/>
    </row>
    <row r="6" spans="1:8">
      <c r="A6" s="153" t="s">
        <v>5</v>
      </c>
      <c r="B6" s="778">
        <v>639</v>
      </c>
      <c r="C6" s="779">
        <v>209</v>
      </c>
      <c r="D6" s="779">
        <v>12</v>
      </c>
      <c r="E6" s="779">
        <v>135</v>
      </c>
      <c r="F6" s="780">
        <f>SUM(B6:E6)</f>
        <v>995</v>
      </c>
      <c r="G6" s="781">
        <v>0</v>
      </c>
      <c r="H6" s="782">
        <f t="shared" ref="H6:H30" si="0">F6+G6</f>
        <v>995</v>
      </c>
    </row>
    <row r="7" spans="1:8">
      <c r="A7" s="154" t="s">
        <v>6</v>
      </c>
      <c r="B7" s="778">
        <v>560</v>
      </c>
      <c r="C7" s="779">
        <v>215</v>
      </c>
      <c r="D7" s="779">
        <v>14</v>
      </c>
      <c r="E7" s="779">
        <v>48</v>
      </c>
      <c r="F7" s="780">
        <f t="shared" ref="F7:F25" si="1">SUM(B7:E7)</f>
        <v>837</v>
      </c>
      <c r="G7" s="781">
        <v>0</v>
      </c>
      <c r="H7" s="782">
        <f t="shared" si="0"/>
        <v>837</v>
      </c>
    </row>
    <row r="8" spans="1:8">
      <c r="A8" s="155" t="s">
        <v>7</v>
      </c>
      <c r="B8" s="778">
        <v>296</v>
      </c>
      <c r="C8" s="779">
        <v>211</v>
      </c>
      <c r="D8" s="779">
        <v>12</v>
      </c>
      <c r="E8" s="779">
        <v>127</v>
      </c>
      <c r="F8" s="780">
        <f t="shared" si="1"/>
        <v>646</v>
      </c>
      <c r="G8" s="781">
        <v>0</v>
      </c>
      <c r="H8" s="782">
        <f t="shared" si="0"/>
        <v>646</v>
      </c>
    </row>
    <row r="9" spans="1:8">
      <c r="A9" s="155" t="s">
        <v>241</v>
      </c>
      <c r="B9" s="778">
        <v>85</v>
      </c>
      <c r="C9" s="779">
        <v>99</v>
      </c>
      <c r="D9" s="779">
        <v>17</v>
      </c>
      <c r="E9" s="779">
        <v>100</v>
      </c>
      <c r="F9" s="780">
        <f t="shared" si="1"/>
        <v>301</v>
      </c>
      <c r="G9" s="781">
        <v>0</v>
      </c>
      <c r="H9" s="782">
        <f t="shared" si="0"/>
        <v>301</v>
      </c>
    </row>
    <row r="10" spans="1:8">
      <c r="A10" s="155" t="s">
        <v>242</v>
      </c>
      <c r="B10" s="778">
        <v>31</v>
      </c>
      <c r="C10" s="779">
        <v>28</v>
      </c>
      <c r="D10" s="779">
        <v>5</v>
      </c>
      <c r="E10" s="779">
        <v>63</v>
      </c>
      <c r="F10" s="780">
        <f t="shared" si="1"/>
        <v>127</v>
      </c>
      <c r="G10" s="781">
        <v>0</v>
      </c>
      <c r="H10" s="782">
        <f t="shared" si="0"/>
        <v>127</v>
      </c>
    </row>
    <row r="11" spans="1:8">
      <c r="A11" s="155" t="s">
        <v>8</v>
      </c>
      <c r="B11" s="778">
        <v>47</v>
      </c>
      <c r="C11" s="779">
        <v>36</v>
      </c>
      <c r="D11" s="779">
        <v>15</v>
      </c>
      <c r="E11" s="779">
        <v>172</v>
      </c>
      <c r="F11" s="780">
        <f t="shared" si="1"/>
        <v>270</v>
      </c>
      <c r="G11" s="781">
        <v>0</v>
      </c>
      <c r="H11" s="782">
        <f t="shared" si="0"/>
        <v>270</v>
      </c>
    </row>
    <row r="12" spans="1:8">
      <c r="A12" s="155" t="s">
        <v>9</v>
      </c>
      <c r="B12" s="778">
        <v>12</v>
      </c>
      <c r="C12" s="779">
        <v>14</v>
      </c>
      <c r="D12" s="779">
        <v>1</v>
      </c>
      <c r="E12" s="779">
        <v>89</v>
      </c>
      <c r="F12" s="780">
        <f t="shared" si="1"/>
        <v>116</v>
      </c>
      <c r="G12" s="781">
        <v>0</v>
      </c>
      <c r="H12" s="782">
        <f t="shared" si="0"/>
        <v>116</v>
      </c>
    </row>
    <row r="13" spans="1:8">
      <c r="A13" s="155" t="s">
        <v>10</v>
      </c>
      <c r="B13" s="778">
        <v>5</v>
      </c>
      <c r="C13" s="779">
        <v>3</v>
      </c>
      <c r="D13" s="779">
        <v>2</v>
      </c>
      <c r="E13" s="779">
        <v>48</v>
      </c>
      <c r="F13" s="780">
        <f t="shared" si="1"/>
        <v>58</v>
      </c>
      <c r="G13" s="781">
        <v>0</v>
      </c>
      <c r="H13" s="782">
        <f t="shared" si="0"/>
        <v>58</v>
      </c>
    </row>
    <row r="14" spans="1:8">
      <c r="A14" s="155" t="s">
        <v>11</v>
      </c>
      <c r="B14" s="778">
        <v>1</v>
      </c>
      <c r="C14" s="779">
        <v>1</v>
      </c>
      <c r="D14" s="779"/>
      <c r="E14" s="779">
        <v>46</v>
      </c>
      <c r="F14" s="780">
        <f t="shared" si="1"/>
        <v>48</v>
      </c>
      <c r="G14" s="781">
        <v>0</v>
      </c>
      <c r="H14" s="782">
        <f t="shared" si="0"/>
        <v>48</v>
      </c>
    </row>
    <row r="15" spans="1:8">
      <c r="A15" s="155" t="s">
        <v>120</v>
      </c>
      <c r="B15" s="778"/>
      <c r="C15" s="779">
        <v>1</v>
      </c>
      <c r="D15" s="779"/>
      <c r="E15" s="779">
        <v>35</v>
      </c>
      <c r="F15" s="780">
        <f t="shared" si="1"/>
        <v>36</v>
      </c>
      <c r="G15" s="781">
        <v>0</v>
      </c>
      <c r="H15" s="782">
        <f t="shared" si="0"/>
        <v>36</v>
      </c>
    </row>
    <row r="16" spans="1:8">
      <c r="A16" s="155" t="s">
        <v>121</v>
      </c>
      <c r="B16" s="778"/>
      <c r="C16" s="779"/>
      <c r="D16" s="779"/>
      <c r="E16" s="779">
        <v>11</v>
      </c>
      <c r="F16" s="780">
        <f t="shared" si="1"/>
        <v>11</v>
      </c>
      <c r="G16" s="781">
        <v>1</v>
      </c>
      <c r="H16" s="782">
        <f t="shared" si="0"/>
        <v>12</v>
      </c>
    </row>
    <row r="17" spans="1:9">
      <c r="A17" s="155" t="s">
        <v>12</v>
      </c>
      <c r="B17" s="778"/>
      <c r="C17" s="779"/>
      <c r="D17" s="779"/>
      <c r="E17" s="779">
        <v>11</v>
      </c>
      <c r="F17" s="780">
        <f t="shared" si="1"/>
        <v>11</v>
      </c>
      <c r="G17" s="781">
        <v>0</v>
      </c>
      <c r="H17" s="782">
        <f t="shared" si="0"/>
        <v>11</v>
      </c>
    </row>
    <row r="18" spans="1:9">
      <c r="A18" s="155" t="s">
        <v>13</v>
      </c>
      <c r="B18" s="778"/>
      <c r="C18" s="779"/>
      <c r="D18" s="779"/>
      <c r="E18" s="779">
        <v>7</v>
      </c>
      <c r="F18" s="780">
        <f t="shared" si="1"/>
        <v>7</v>
      </c>
      <c r="G18" s="781">
        <v>1</v>
      </c>
      <c r="H18" s="782">
        <f t="shared" si="0"/>
        <v>8</v>
      </c>
    </row>
    <row r="19" spans="1:9">
      <c r="A19" s="155" t="s">
        <v>122</v>
      </c>
      <c r="B19" s="778"/>
      <c r="C19" s="779"/>
      <c r="D19" s="779"/>
      <c r="E19" s="779">
        <v>3</v>
      </c>
      <c r="F19" s="780">
        <f t="shared" si="1"/>
        <v>3</v>
      </c>
      <c r="G19" s="781">
        <v>0</v>
      </c>
      <c r="H19" s="782">
        <f t="shared" si="0"/>
        <v>3</v>
      </c>
    </row>
    <row r="20" spans="1:9">
      <c r="A20" s="155" t="s">
        <v>123</v>
      </c>
      <c r="B20" s="778"/>
      <c r="C20" s="779"/>
      <c r="D20" s="779"/>
      <c r="E20" s="779">
        <v>2</v>
      </c>
      <c r="F20" s="780">
        <f t="shared" si="1"/>
        <v>2</v>
      </c>
      <c r="G20" s="781">
        <v>1</v>
      </c>
      <c r="H20" s="782">
        <f t="shared" si="0"/>
        <v>3</v>
      </c>
    </row>
    <row r="21" spans="1:9">
      <c r="A21" s="153" t="s">
        <v>14</v>
      </c>
      <c r="B21" s="778"/>
      <c r="C21" s="779"/>
      <c r="D21" s="779"/>
      <c r="E21" s="779">
        <v>1</v>
      </c>
      <c r="F21" s="780">
        <f t="shared" si="1"/>
        <v>1</v>
      </c>
      <c r="G21" s="781">
        <v>0</v>
      </c>
      <c r="H21" s="782">
        <f t="shared" si="0"/>
        <v>1</v>
      </c>
    </row>
    <row r="22" spans="1:9">
      <c r="A22" s="155" t="s">
        <v>15</v>
      </c>
      <c r="B22" s="778"/>
      <c r="C22" s="779"/>
      <c r="D22" s="779"/>
      <c r="E22" s="779">
        <v>0</v>
      </c>
      <c r="F22" s="780">
        <f t="shared" si="1"/>
        <v>0</v>
      </c>
      <c r="G22" s="781">
        <v>0</v>
      </c>
      <c r="H22" s="782">
        <f t="shared" si="0"/>
        <v>0</v>
      </c>
    </row>
    <row r="23" spans="1:9">
      <c r="A23" s="155" t="s">
        <v>16</v>
      </c>
      <c r="B23" s="778"/>
      <c r="C23" s="779"/>
      <c r="D23" s="779"/>
      <c r="E23" s="779">
        <v>0</v>
      </c>
      <c r="F23" s="780">
        <f t="shared" si="1"/>
        <v>0</v>
      </c>
      <c r="G23" s="781">
        <v>0</v>
      </c>
      <c r="H23" s="782">
        <f t="shared" si="0"/>
        <v>0</v>
      </c>
      <c r="I23" s="18"/>
    </row>
    <row r="24" spans="1:9">
      <c r="A24" s="155" t="s">
        <v>17</v>
      </c>
      <c r="B24" s="778"/>
      <c r="C24" s="779"/>
      <c r="D24" s="779"/>
      <c r="E24" s="779">
        <v>0</v>
      </c>
      <c r="F24" s="780">
        <f t="shared" si="1"/>
        <v>0</v>
      </c>
      <c r="G24" s="781">
        <v>0</v>
      </c>
      <c r="H24" s="782">
        <f t="shared" si="0"/>
        <v>0</v>
      </c>
    </row>
    <row r="25" spans="1:9">
      <c r="A25" s="155" t="s">
        <v>18</v>
      </c>
      <c r="B25" s="778"/>
      <c r="C25" s="779"/>
      <c r="D25" s="779"/>
      <c r="E25" s="779">
        <v>1</v>
      </c>
      <c r="F25" s="780">
        <f t="shared" si="1"/>
        <v>1</v>
      </c>
      <c r="G25" s="781">
        <v>1</v>
      </c>
      <c r="H25" s="782">
        <f t="shared" si="0"/>
        <v>2</v>
      </c>
    </row>
    <row r="26" spans="1:9">
      <c r="A26" s="155" t="s">
        <v>19</v>
      </c>
      <c r="B26" s="778"/>
      <c r="C26" s="779"/>
      <c r="D26" s="779"/>
      <c r="E26" s="779"/>
      <c r="F26" s="780"/>
      <c r="G26" s="781">
        <v>0</v>
      </c>
      <c r="H26" s="782">
        <f t="shared" si="0"/>
        <v>0</v>
      </c>
    </row>
    <row r="27" spans="1:9">
      <c r="A27" s="155" t="s">
        <v>20</v>
      </c>
      <c r="B27" s="778"/>
      <c r="C27" s="779"/>
      <c r="D27" s="779"/>
      <c r="E27" s="779"/>
      <c r="F27" s="780"/>
      <c r="G27" s="781">
        <v>0</v>
      </c>
      <c r="H27" s="782">
        <f t="shared" si="0"/>
        <v>0</v>
      </c>
    </row>
    <row r="28" spans="1:9">
      <c r="A28" s="155" t="s">
        <v>21</v>
      </c>
      <c r="B28" s="778"/>
      <c r="C28" s="779"/>
      <c r="D28" s="779"/>
      <c r="E28" s="779"/>
      <c r="F28" s="780"/>
      <c r="G28" s="781">
        <v>0</v>
      </c>
      <c r="H28" s="782">
        <f t="shared" si="0"/>
        <v>0</v>
      </c>
    </row>
    <row r="29" spans="1:9">
      <c r="A29" s="155" t="s">
        <v>22</v>
      </c>
      <c r="B29" s="778"/>
      <c r="C29" s="779"/>
      <c r="D29" s="779"/>
      <c r="E29" s="779"/>
      <c r="F29" s="780"/>
      <c r="G29" s="781">
        <v>0</v>
      </c>
      <c r="H29" s="782">
        <f t="shared" si="0"/>
        <v>0</v>
      </c>
    </row>
    <row r="30" spans="1:9">
      <c r="A30" s="153" t="s">
        <v>23</v>
      </c>
      <c r="B30" s="778"/>
      <c r="C30" s="779"/>
      <c r="D30" s="779"/>
      <c r="E30" s="779"/>
      <c r="F30" s="780"/>
      <c r="G30" s="781">
        <v>1</v>
      </c>
      <c r="H30" s="782">
        <f t="shared" si="0"/>
        <v>1</v>
      </c>
    </row>
    <row r="31" spans="1:9">
      <c r="A31" s="153" t="s">
        <v>24</v>
      </c>
      <c r="B31" s="250"/>
      <c r="C31" s="251"/>
      <c r="D31" s="251"/>
      <c r="E31" s="251"/>
      <c r="F31" s="252"/>
      <c r="G31" s="291"/>
      <c r="H31" s="24"/>
    </row>
    <row r="32" spans="1:9">
      <c r="A32" s="153" t="s">
        <v>25</v>
      </c>
      <c r="B32" s="250"/>
      <c r="C32" s="251"/>
      <c r="D32" s="251"/>
      <c r="E32" s="251"/>
      <c r="F32" s="252"/>
      <c r="G32" s="291"/>
      <c r="H32" s="24"/>
    </row>
    <row r="33" spans="1:10">
      <c r="A33" s="153" t="s">
        <v>125</v>
      </c>
      <c r="B33" s="250"/>
      <c r="C33" s="251"/>
      <c r="D33" s="251"/>
      <c r="E33" s="251"/>
      <c r="F33" s="252"/>
      <c r="G33" s="291"/>
      <c r="H33" s="24"/>
    </row>
    <row r="34" spans="1:10">
      <c r="A34" s="153" t="s">
        <v>126</v>
      </c>
      <c r="B34" s="250"/>
      <c r="C34" s="251"/>
      <c r="D34" s="251"/>
      <c r="E34" s="251"/>
      <c r="F34" s="252"/>
      <c r="G34" s="291"/>
      <c r="H34" s="24"/>
    </row>
    <row r="35" spans="1:10">
      <c r="A35" s="155" t="s">
        <v>26</v>
      </c>
      <c r="B35" s="250"/>
      <c r="C35" s="251"/>
      <c r="D35" s="251"/>
      <c r="E35" s="251"/>
      <c r="F35" s="252"/>
      <c r="G35" s="291"/>
      <c r="H35" s="24"/>
    </row>
    <row r="36" spans="1:10">
      <c r="A36" s="155" t="s">
        <v>27</v>
      </c>
      <c r="B36" s="250"/>
      <c r="C36" s="251"/>
      <c r="D36" s="251"/>
      <c r="E36" s="251"/>
      <c r="F36" s="252"/>
      <c r="G36" s="291"/>
      <c r="H36" s="24"/>
    </row>
    <row r="37" spans="1:10" ht="13.5" thickBot="1">
      <c r="A37" s="153"/>
      <c r="B37" s="250"/>
      <c r="C37" s="251"/>
      <c r="D37" s="251"/>
      <c r="E37" s="251"/>
      <c r="F37" s="252"/>
      <c r="G37" s="473"/>
      <c r="H37" s="276"/>
    </row>
    <row r="38" spans="1:10" ht="13.5" thickBot="1">
      <c r="A38" s="245" t="s">
        <v>2</v>
      </c>
      <c r="B38" s="284">
        <f t="shared" ref="B38:G38" si="2">SUM(B6:B37)</f>
        <v>1676</v>
      </c>
      <c r="C38" s="160">
        <f t="shared" si="2"/>
        <v>817</v>
      </c>
      <c r="D38" s="160">
        <f t="shared" si="2"/>
        <v>78</v>
      </c>
      <c r="E38" s="160">
        <f t="shared" si="2"/>
        <v>899</v>
      </c>
      <c r="F38" s="160">
        <f t="shared" si="2"/>
        <v>3470</v>
      </c>
      <c r="G38" s="285">
        <f t="shared" si="2"/>
        <v>5</v>
      </c>
      <c r="H38" s="292">
        <f>SUM(H6:H37)</f>
        <v>3475</v>
      </c>
      <c r="J38" s="242"/>
    </row>
    <row r="39" spans="1:10">
      <c r="A39" s="299" t="s">
        <v>134</v>
      </c>
      <c r="B39" s="334">
        <f>SUM(B6:B9)</f>
        <v>1580</v>
      </c>
      <c r="C39" s="324">
        <f t="shared" ref="C39:H39" si="3">SUM(C6:C9)</f>
        <v>734</v>
      </c>
      <c r="D39" s="324">
        <f t="shared" si="3"/>
        <v>55</v>
      </c>
      <c r="E39" s="324">
        <f t="shared" si="3"/>
        <v>410</v>
      </c>
      <c r="F39" s="327">
        <f t="shared" si="3"/>
        <v>2779</v>
      </c>
      <c r="G39" s="330">
        <f t="shared" si="3"/>
        <v>0</v>
      </c>
      <c r="H39" s="327">
        <f t="shared" si="3"/>
        <v>2779</v>
      </c>
      <c r="J39" s="242"/>
    </row>
    <row r="40" spans="1:10" ht="13.5" thickBot="1">
      <c r="A40" s="243" t="s">
        <v>135</v>
      </c>
      <c r="B40" s="336">
        <f t="shared" ref="B40:H40" si="4">SUM(B10:B36)</f>
        <v>96</v>
      </c>
      <c r="C40" s="326">
        <f t="shared" si="4"/>
        <v>83</v>
      </c>
      <c r="D40" s="326">
        <f t="shared" si="4"/>
        <v>23</v>
      </c>
      <c r="E40" s="326">
        <f t="shared" si="4"/>
        <v>489</v>
      </c>
      <c r="F40" s="329">
        <f t="shared" si="4"/>
        <v>691</v>
      </c>
      <c r="G40" s="332">
        <f t="shared" si="4"/>
        <v>5</v>
      </c>
      <c r="H40" s="329">
        <f t="shared" si="4"/>
        <v>696</v>
      </c>
      <c r="J40" s="242"/>
    </row>
    <row r="41" spans="1:10">
      <c r="A41" s="149"/>
      <c r="B41" s="320"/>
      <c r="C41" s="320"/>
      <c r="D41" s="320"/>
      <c r="E41" s="320"/>
      <c r="F41" s="320"/>
      <c r="G41" s="320"/>
      <c r="H41" s="587"/>
    </row>
    <row r="42" spans="1:10">
      <c r="A42" s="33" t="s">
        <v>376</v>
      </c>
      <c r="B42" s="12"/>
      <c r="C42" s="12"/>
      <c r="D42" s="12"/>
      <c r="E42" s="12"/>
      <c r="F42" s="12"/>
      <c r="G42" s="12"/>
      <c r="H42" s="101"/>
    </row>
    <row r="43" spans="1:10">
      <c r="A43" s="33"/>
      <c r="B43" s="576" t="s">
        <v>483</v>
      </c>
      <c r="C43" s="12"/>
      <c r="D43" s="12"/>
      <c r="E43" s="12"/>
      <c r="F43" s="12"/>
      <c r="G43" s="12"/>
      <c r="H43" s="101"/>
    </row>
    <row r="44" spans="1:10" ht="13.5" thickBot="1">
      <c r="A44" s="94"/>
      <c r="B44" s="597" t="s">
        <v>375</v>
      </c>
      <c r="C44" s="32"/>
      <c r="D44" s="32"/>
      <c r="E44" s="32"/>
      <c r="F44" s="32"/>
      <c r="G44" s="32"/>
      <c r="H44" s="106"/>
    </row>
    <row r="45" spans="1:10">
      <c r="A45" s="148"/>
    </row>
    <row r="46" spans="1:10">
      <c r="A46" s="340" t="s">
        <v>102</v>
      </c>
      <c r="B46" s="18">
        <f>SUM(B39:B40)-B38</f>
        <v>0</v>
      </c>
      <c r="C46" s="18">
        <f t="shared" ref="C46:H46" si="5">SUM(C39:C40)-C38</f>
        <v>0</v>
      </c>
      <c r="D46" s="18">
        <f t="shared" si="5"/>
        <v>0</v>
      </c>
      <c r="E46" s="18">
        <f t="shared" si="5"/>
        <v>0</v>
      </c>
      <c r="F46" s="18">
        <f t="shared" si="5"/>
        <v>0</v>
      </c>
      <c r="G46" s="18">
        <f t="shared" si="5"/>
        <v>0</v>
      </c>
      <c r="H46" s="18">
        <f t="shared" si="5"/>
        <v>0</v>
      </c>
    </row>
    <row r="47" spans="1:10">
      <c r="A47" s="21"/>
    </row>
    <row r="48" spans="1:10">
      <c r="A48" s="21"/>
    </row>
    <row r="49" spans="1:1">
      <c r="A49" s="21"/>
    </row>
    <row r="50" spans="1:1">
      <c r="A50" s="21"/>
    </row>
    <row r="51" spans="1:1">
      <c r="A51" s="21"/>
    </row>
    <row r="52" spans="1:1">
      <c r="A52" s="21"/>
    </row>
    <row r="53" spans="1:1">
      <c r="A53" s="21"/>
    </row>
    <row r="54" spans="1:1">
      <c r="A54" s="21"/>
    </row>
    <row r="55" spans="1:1">
      <c r="A55" s="21"/>
    </row>
    <row r="56" spans="1:1">
      <c r="A56" s="21"/>
    </row>
    <row r="57" spans="1:1">
      <c r="A57" s="21"/>
    </row>
    <row r="58" spans="1:1">
      <c r="A58" s="21"/>
    </row>
    <row r="59" spans="1:1">
      <c r="A59" s="21"/>
    </row>
    <row r="60" spans="1:1">
      <c r="A60" s="21"/>
    </row>
    <row r="61" spans="1:1">
      <c r="A61" s="21"/>
    </row>
    <row r="62" spans="1:1">
      <c r="A62" s="21"/>
    </row>
    <row r="63" spans="1:1">
      <c r="A63" s="21"/>
    </row>
    <row r="64" spans="1:1">
      <c r="A64" s="21"/>
    </row>
    <row r="65" spans="1:1">
      <c r="A65" s="21"/>
    </row>
    <row r="66" spans="1:1">
      <c r="A66" s="21"/>
    </row>
    <row r="67" spans="1:1">
      <c r="A67" s="21"/>
    </row>
    <row r="68" spans="1:1">
      <c r="A68" s="21"/>
    </row>
    <row r="69" spans="1:1">
      <c r="A69" s="21"/>
    </row>
    <row r="70" spans="1:1">
      <c r="A70" s="21"/>
    </row>
    <row r="71" spans="1:1">
      <c r="A71" s="21"/>
    </row>
    <row r="72" spans="1:1">
      <c r="A72" s="21"/>
    </row>
    <row r="73" spans="1:1">
      <c r="A73" s="21"/>
    </row>
    <row r="74" spans="1:1">
      <c r="A74" s="21"/>
    </row>
    <row r="75" spans="1:1">
      <c r="A75" s="21"/>
    </row>
    <row r="76" spans="1:1">
      <c r="A76" s="21"/>
    </row>
    <row r="77" spans="1:1">
      <c r="A77" s="21"/>
    </row>
    <row r="78" spans="1:1">
      <c r="A78" s="21"/>
    </row>
    <row r="79" spans="1:1">
      <c r="A79" s="21"/>
    </row>
    <row r="80" spans="1:1">
      <c r="A80" s="21"/>
    </row>
    <row r="81" spans="1:1">
      <c r="A81" s="21"/>
    </row>
    <row r="82" spans="1:1">
      <c r="A82" s="21"/>
    </row>
    <row r="83" spans="1:1">
      <c r="A83" s="21"/>
    </row>
    <row r="84" spans="1:1">
      <c r="A84" s="21"/>
    </row>
    <row r="85" spans="1:1">
      <c r="A85" s="21"/>
    </row>
    <row r="86" spans="1:1">
      <c r="A86" s="21"/>
    </row>
    <row r="87" spans="1:1">
      <c r="A87" s="21"/>
    </row>
    <row r="88" spans="1:1">
      <c r="A88" s="21"/>
    </row>
    <row r="89" spans="1:1">
      <c r="A89" s="21"/>
    </row>
    <row r="90" spans="1:1">
      <c r="A90" s="21"/>
    </row>
    <row r="91" spans="1:1">
      <c r="A91" s="21"/>
    </row>
    <row r="92" spans="1:1">
      <c r="A92" s="21"/>
    </row>
    <row r="93" spans="1:1">
      <c r="A93" s="21"/>
    </row>
    <row r="94" spans="1:1">
      <c r="A94" s="21"/>
    </row>
    <row r="95" spans="1:1">
      <c r="A95" s="21"/>
    </row>
    <row r="96" spans="1:1">
      <c r="A96" s="21"/>
    </row>
    <row r="97" spans="1:1">
      <c r="A97" s="21"/>
    </row>
    <row r="98" spans="1:1">
      <c r="A98" s="21"/>
    </row>
    <row r="99" spans="1:1">
      <c r="A99" s="21"/>
    </row>
    <row r="100" spans="1:1">
      <c r="A100" s="21"/>
    </row>
    <row r="101" spans="1:1">
      <c r="A101" s="21"/>
    </row>
    <row r="102" spans="1:1">
      <c r="A102" s="21"/>
    </row>
    <row r="103" spans="1:1">
      <c r="A103" s="21"/>
    </row>
    <row r="104" spans="1:1">
      <c r="A104" s="21"/>
    </row>
    <row r="105" spans="1:1">
      <c r="A105" s="21"/>
    </row>
    <row r="106" spans="1:1">
      <c r="A106" s="21"/>
    </row>
    <row r="107" spans="1:1">
      <c r="A107" s="21"/>
    </row>
    <row r="108" spans="1:1">
      <c r="A108" s="21"/>
    </row>
    <row r="109" spans="1:1">
      <c r="A109" s="21"/>
    </row>
    <row r="110" spans="1:1">
      <c r="A110" s="21"/>
    </row>
    <row r="111" spans="1:1">
      <c r="A111" s="21"/>
    </row>
    <row r="112" spans="1:1">
      <c r="A112" s="21"/>
    </row>
    <row r="113" spans="1:1">
      <c r="A113" s="21"/>
    </row>
    <row r="114" spans="1:1">
      <c r="A114" s="21"/>
    </row>
    <row r="115" spans="1:1">
      <c r="A115" s="21"/>
    </row>
    <row r="116" spans="1:1">
      <c r="A116" s="21"/>
    </row>
    <row r="117" spans="1:1">
      <c r="A117" s="21"/>
    </row>
    <row r="118" spans="1:1">
      <c r="A118" s="21"/>
    </row>
    <row r="119" spans="1:1">
      <c r="A119" s="21"/>
    </row>
    <row r="120" spans="1:1">
      <c r="A120" s="21"/>
    </row>
    <row r="121" spans="1:1">
      <c r="A121" s="21"/>
    </row>
    <row r="122" spans="1:1">
      <c r="A122" s="21"/>
    </row>
    <row r="123" spans="1:1">
      <c r="A123" s="21"/>
    </row>
    <row r="124" spans="1:1">
      <c r="A124" s="21"/>
    </row>
    <row r="125" spans="1:1">
      <c r="A125" s="21"/>
    </row>
    <row r="126" spans="1:1">
      <c r="A126" s="21"/>
    </row>
    <row r="127" spans="1:1">
      <c r="A127" s="21"/>
    </row>
    <row r="128" spans="1:1">
      <c r="A128" s="21"/>
    </row>
    <row r="129" spans="1:1">
      <c r="A129" s="21"/>
    </row>
    <row r="130" spans="1:1">
      <c r="A130" s="21"/>
    </row>
    <row r="131" spans="1:1">
      <c r="A131" s="21"/>
    </row>
    <row r="132" spans="1:1">
      <c r="A132" s="21"/>
    </row>
    <row r="133" spans="1:1">
      <c r="A133" s="21"/>
    </row>
    <row r="134" spans="1:1">
      <c r="A134" s="21"/>
    </row>
    <row r="135" spans="1:1">
      <c r="A135" s="21"/>
    </row>
    <row r="136" spans="1:1">
      <c r="A136" s="21"/>
    </row>
    <row r="137" spans="1:1">
      <c r="A137" s="21"/>
    </row>
    <row r="138" spans="1:1">
      <c r="A138" s="21"/>
    </row>
    <row r="139" spans="1:1">
      <c r="A139" s="21"/>
    </row>
    <row r="140" spans="1:1">
      <c r="A140" s="21"/>
    </row>
    <row r="141" spans="1:1">
      <c r="A141" s="21"/>
    </row>
    <row r="142" spans="1:1">
      <c r="A142" s="21"/>
    </row>
    <row r="143" spans="1:1">
      <c r="A143" s="21"/>
    </row>
    <row r="144" spans="1:1">
      <c r="A144" s="21"/>
    </row>
    <row r="145" spans="1:1">
      <c r="A145" s="21"/>
    </row>
    <row r="146" spans="1:1">
      <c r="A146" s="21"/>
    </row>
    <row r="147" spans="1:1">
      <c r="A147" s="21"/>
    </row>
    <row r="148" spans="1:1">
      <c r="A148" s="21"/>
    </row>
    <row r="149" spans="1:1">
      <c r="A149" s="21"/>
    </row>
    <row r="150" spans="1:1">
      <c r="A150" s="21"/>
    </row>
    <row r="151" spans="1:1">
      <c r="A151" s="21"/>
    </row>
    <row r="152" spans="1:1">
      <c r="A152" s="21"/>
    </row>
    <row r="153" spans="1:1">
      <c r="A153" s="21"/>
    </row>
    <row r="154" spans="1:1">
      <c r="A154" s="21"/>
    </row>
    <row r="155" spans="1:1">
      <c r="A155" s="21"/>
    </row>
    <row r="156" spans="1:1">
      <c r="A156" s="21"/>
    </row>
    <row r="157" spans="1:1">
      <c r="A157" s="21"/>
    </row>
    <row r="158" spans="1:1">
      <c r="A158" s="21"/>
    </row>
    <row r="159" spans="1:1">
      <c r="A159" s="21"/>
    </row>
    <row r="160" spans="1:1">
      <c r="A160" s="21"/>
    </row>
    <row r="161" spans="1:1">
      <c r="A161" s="21"/>
    </row>
    <row r="162" spans="1:1">
      <c r="A162" s="21"/>
    </row>
    <row r="163" spans="1:1">
      <c r="A163" s="21"/>
    </row>
    <row r="164" spans="1:1">
      <c r="A164" s="21"/>
    </row>
    <row r="165" spans="1:1">
      <c r="A165" s="21"/>
    </row>
    <row r="166" spans="1:1">
      <c r="A166" s="21"/>
    </row>
    <row r="167" spans="1:1">
      <c r="A167" s="21"/>
    </row>
    <row r="168" spans="1:1">
      <c r="A168" s="21"/>
    </row>
    <row r="169" spans="1:1">
      <c r="A169" s="21"/>
    </row>
    <row r="170" spans="1:1">
      <c r="A170" s="21"/>
    </row>
    <row r="171" spans="1:1">
      <c r="A171" s="21"/>
    </row>
    <row r="172" spans="1:1">
      <c r="A172" s="21"/>
    </row>
    <row r="173" spans="1:1">
      <c r="A173" s="21"/>
    </row>
    <row r="174" spans="1:1">
      <c r="A174" s="21"/>
    </row>
    <row r="175" spans="1:1">
      <c r="A175" s="21"/>
    </row>
    <row r="176" spans="1:1">
      <c r="A176" s="21"/>
    </row>
    <row r="177" spans="1:1">
      <c r="A177" s="21"/>
    </row>
    <row r="178" spans="1:1">
      <c r="A178" s="21"/>
    </row>
    <row r="179" spans="1:1">
      <c r="A179" s="21"/>
    </row>
    <row r="180" spans="1:1">
      <c r="A180" s="21"/>
    </row>
    <row r="181" spans="1:1">
      <c r="A181" s="21"/>
    </row>
    <row r="182" spans="1:1">
      <c r="A182" s="21"/>
    </row>
    <row r="183" spans="1:1">
      <c r="A183" s="21"/>
    </row>
    <row r="184" spans="1:1">
      <c r="A184" s="21"/>
    </row>
    <row r="185" spans="1:1">
      <c r="A185" s="21"/>
    </row>
    <row r="186" spans="1:1">
      <c r="A186" s="21"/>
    </row>
    <row r="187" spans="1:1">
      <c r="A187" s="21"/>
    </row>
    <row r="188" spans="1:1">
      <c r="A188" s="21"/>
    </row>
    <row r="189" spans="1:1">
      <c r="A189" s="21"/>
    </row>
    <row r="190" spans="1:1">
      <c r="A190" s="21"/>
    </row>
    <row r="191" spans="1:1">
      <c r="A191" s="21"/>
    </row>
    <row r="192" spans="1:1">
      <c r="A192" s="21"/>
    </row>
    <row r="193" spans="1:1">
      <c r="A193" s="21"/>
    </row>
    <row r="194" spans="1:1">
      <c r="A194" s="21"/>
    </row>
    <row r="195" spans="1:1">
      <c r="A195" s="21"/>
    </row>
    <row r="196" spans="1:1">
      <c r="A196" s="21"/>
    </row>
    <row r="197" spans="1:1">
      <c r="A197" s="21"/>
    </row>
    <row r="198" spans="1:1">
      <c r="A198" s="21"/>
    </row>
    <row r="199" spans="1:1">
      <c r="A199" s="21"/>
    </row>
    <row r="200" spans="1:1">
      <c r="A200" s="21"/>
    </row>
    <row r="201" spans="1:1">
      <c r="A201" s="21"/>
    </row>
    <row r="202" spans="1:1">
      <c r="A202" s="21"/>
    </row>
    <row r="203" spans="1:1">
      <c r="A203" s="21"/>
    </row>
    <row r="204" spans="1:1">
      <c r="A204" s="21"/>
    </row>
    <row r="205" spans="1:1">
      <c r="A205" s="21"/>
    </row>
    <row r="206" spans="1:1">
      <c r="A206" s="21"/>
    </row>
    <row r="207" spans="1:1">
      <c r="A207" s="21"/>
    </row>
    <row r="208" spans="1:1">
      <c r="A208" s="21"/>
    </row>
    <row r="209" spans="1:1">
      <c r="A209" s="21"/>
    </row>
    <row r="210" spans="1:1">
      <c r="A210" s="21"/>
    </row>
    <row r="211" spans="1:1">
      <c r="A211" s="21"/>
    </row>
    <row r="212" spans="1:1">
      <c r="A212" s="21"/>
    </row>
    <row r="213" spans="1:1">
      <c r="A213" s="21"/>
    </row>
    <row r="214" spans="1:1">
      <c r="A214" s="21"/>
    </row>
    <row r="215" spans="1:1">
      <c r="A215" s="21"/>
    </row>
    <row r="216" spans="1:1">
      <c r="A216" s="21"/>
    </row>
    <row r="217" spans="1:1">
      <c r="A217" s="21"/>
    </row>
    <row r="218" spans="1:1">
      <c r="A218" s="21"/>
    </row>
    <row r="219" spans="1:1">
      <c r="A219" s="21"/>
    </row>
    <row r="220" spans="1:1">
      <c r="A220" s="21"/>
    </row>
    <row r="221" spans="1:1">
      <c r="A221" s="21"/>
    </row>
    <row r="222" spans="1:1">
      <c r="A222" s="21"/>
    </row>
    <row r="223" spans="1:1">
      <c r="A223" s="21"/>
    </row>
    <row r="224" spans="1:1">
      <c r="A224" s="21"/>
    </row>
    <row r="225" spans="1:1">
      <c r="A225" s="21"/>
    </row>
    <row r="226" spans="1:1">
      <c r="A226" s="21"/>
    </row>
    <row r="227" spans="1:1">
      <c r="A227" s="21"/>
    </row>
    <row r="228" spans="1:1">
      <c r="A228" s="21"/>
    </row>
    <row r="229" spans="1:1">
      <c r="A229" s="21"/>
    </row>
    <row r="230" spans="1:1">
      <c r="A230" s="21"/>
    </row>
    <row r="231" spans="1:1">
      <c r="A231" s="21"/>
    </row>
    <row r="232" spans="1:1">
      <c r="A232" s="21"/>
    </row>
    <row r="233" spans="1:1">
      <c r="A233" s="21"/>
    </row>
    <row r="234" spans="1:1">
      <c r="A234" s="21"/>
    </row>
    <row r="235" spans="1:1">
      <c r="A235" s="21"/>
    </row>
    <row r="236" spans="1:1">
      <c r="A236" s="21"/>
    </row>
    <row r="237" spans="1:1">
      <c r="A237" s="21"/>
    </row>
    <row r="238" spans="1:1">
      <c r="A238" s="21"/>
    </row>
    <row r="239" spans="1:1">
      <c r="A239" s="21"/>
    </row>
    <row r="240" spans="1:1">
      <c r="A240" s="21"/>
    </row>
    <row r="241" spans="1:1">
      <c r="A241" s="21"/>
    </row>
    <row r="242" spans="1:1">
      <c r="A242" s="21"/>
    </row>
    <row r="243" spans="1:1">
      <c r="A243" s="21"/>
    </row>
    <row r="244" spans="1:1">
      <c r="A244" s="21"/>
    </row>
    <row r="245" spans="1:1">
      <c r="A245" s="21"/>
    </row>
    <row r="246" spans="1:1">
      <c r="A246" s="21"/>
    </row>
    <row r="247" spans="1:1">
      <c r="A247" s="21"/>
    </row>
    <row r="248" spans="1:1">
      <c r="A248" s="21"/>
    </row>
    <row r="249" spans="1:1">
      <c r="A249" s="21"/>
    </row>
    <row r="250" spans="1:1">
      <c r="A250" s="21"/>
    </row>
    <row r="251" spans="1:1">
      <c r="A251" s="21"/>
    </row>
    <row r="252" spans="1:1">
      <c r="A252" s="21"/>
    </row>
    <row r="253" spans="1:1">
      <c r="A253" s="21"/>
    </row>
    <row r="254" spans="1:1">
      <c r="A254" s="21"/>
    </row>
    <row r="255" spans="1:1">
      <c r="A255" s="21"/>
    </row>
    <row r="256" spans="1:1">
      <c r="A256" s="21"/>
    </row>
    <row r="257" spans="1:1">
      <c r="A257" s="21"/>
    </row>
    <row r="258" spans="1:1">
      <c r="A258" s="21"/>
    </row>
    <row r="259" spans="1:1">
      <c r="A259" s="21"/>
    </row>
    <row r="260" spans="1:1">
      <c r="A260" s="21"/>
    </row>
    <row r="261" spans="1:1">
      <c r="A261" s="21"/>
    </row>
    <row r="262" spans="1:1">
      <c r="A262" s="21"/>
    </row>
    <row r="263" spans="1:1">
      <c r="A263" s="21"/>
    </row>
    <row r="264" spans="1:1">
      <c r="A264" s="21"/>
    </row>
    <row r="265" spans="1:1">
      <c r="A265" s="21"/>
    </row>
    <row r="266" spans="1:1">
      <c r="A266" s="21"/>
    </row>
    <row r="267" spans="1:1">
      <c r="A267" s="21"/>
    </row>
    <row r="268" spans="1:1">
      <c r="A268" s="21"/>
    </row>
    <row r="269" spans="1:1">
      <c r="A269" s="21"/>
    </row>
    <row r="270" spans="1:1">
      <c r="A270" s="21"/>
    </row>
    <row r="271" spans="1:1">
      <c r="A271" s="21"/>
    </row>
    <row r="272" spans="1:1">
      <c r="A272" s="21"/>
    </row>
    <row r="273" spans="1:1">
      <c r="A273" s="21"/>
    </row>
    <row r="274" spans="1:1">
      <c r="A274" s="21"/>
    </row>
    <row r="275" spans="1:1">
      <c r="A275" s="21"/>
    </row>
    <row r="276" spans="1:1">
      <c r="A276" s="21"/>
    </row>
    <row r="277" spans="1:1">
      <c r="A277" s="21"/>
    </row>
    <row r="278" spans="1:1">
      <c r="A278" s="21"/>
    </row>
    <row r="279" spans="1:1">
      <c r="A279" s="21"/>
    </row>
    <row r="280" spans="1:1">
      <c r="A280" s="21"/>
    </row>
    <row r="281" spans="1:1">
      <c r="A281" s="21"/>
    </row>
    <row r="282" spans="1:1">
      <c r="A282" s="21"/>
    </row>
    <row r="283" spans="1:1">
      <c r="A283" s="21"/>
    </row>
    <row r="284" spans="1:1">
      <c r="A284" s="21"/>
    </row>
    <row r="285" spans="1:1">
      <c r="A285" s="21"/>
    </row>
    <row r="286" spans="1:1">
      <c r="A286" s="21"/>
    </row>
    <row r="287" spans="1:1">
      <c r="A287" s="21"/>
    </row>
    <row r="288" spans="1:1">
      <c r="A288" s="21"/>
    </row>
    <row r="289" spans="1:1">
      <c r="A289" s="21"/>
    </row>
    <row r="290" spans="1:1">
      <c r="A290" s="21"/>
    </row>
    <row r="291" spans="1:1">
      <c r="A291" s="21"/>
    </row>
    <row r="292" spans="1:1">
      <c r="A292" s="21"/>
    </row>
    <row r="293" spans="1:1">
      <c r="A293" s="21"/>
    </row>
    <row r="294" spans="1:1">
      <c r="A294" s="21"/>
    </row>
    <row r="295" spans="1:1">
      <c r="A295" s="21"/>
    </row>
    <row r="296" spans="1:1">
      <c r="A296" s="21"/>
    </row>
    <row r="297" spans="1:1">
      <c r="A297" s="21"/>
    </row>
    <row r="298" spans="1:1">
      <c r="A298" s="21"/>
    </row>
    <row r="299" spans="1:1">
      <c r="A299" s="21"/>
    </row>
    <row r="300" spans="1:1">
      <c r="A300" s="21"/>
    </row>
    <row r="301" spans="1:1">
      <c r="A301" s="21"/>
    </row>
    <row r="302" spans="1:1">
      <c r="A302" s="21"/>
    </row>
    <row r="303" spans="1:1">
      <c r="A303" s="21"/>
    </row>
    <row r="304" spans="1:1">
      <c r="A304" s="21"/>
    </row>
    <row r="305" spans="1:1">
      <c r="A305" s="21"/>
    </row>
    <row r="306" spans="1:1">
      <c r="A306" s="21"/>
    </row>
    <row r="307" spans="1:1">
      <c r="A307" s="21"/>
    </row>
    <row r="308" spans="1:1">
      <c r="A308" s="21"/>
    </row>
    <row r="309" spans="1:1">
      <c r="A309" s="21"/>
    </row>
    <row r="310" spans="1:1">
      <c r="A310" s="21"/>
    </row>
    <row r="311" spans="1:1">
      <c r="A311" s="21"/>
    </row>
    <row r="312" spans="1:1">
      <c r="A312" s="21"/>
    </row>
    <row r="313" spans="1:1">
      <c r="A313" s="21"/>
    </row>
    <row r="314" spans="1:1">
      <c r="A314" s="21"/>
    </row>
    <row r="315" spans="1:1">
      <c r="A315" s="21"/>
    </row>
    <row r="316" spans="1:1">
      <c r="A316" s="21"/>
    </row>
    <row r="317" spans="1:1">
      <c r="A317" s="21"/>
    </row>
    <row r="318" spans="1:1">
      <c r="A318" s="21"/>
    </row>
    <row r="319" spans="1:1">
      <c r="A319" s="21"/>
    </row>
    <row r="320" spans="1:1">
      <c r="A320" s="21"/>
    </row>
    <row r="321" spans="1:1">
      <c r="A321" s="21"/>
    </row>
    <row r="322" spans="1:1">
      <c r="A322" s="21"/>
    </row>
    <row r="323" spans="1:1">
      <c r="A323" s="21"/>
    </row>
    <row r="324" spans="1:1">
      <c r="A324" s="21"/>
    </row>
    <row r="325" spans="1:1">
      <c r="A325" s="21"/>
    </row>
    <row r="326" spans="1:1">
      <c r="A326" s="21"/>
    </row>
    <row r="327" spans="1:1">
      <c r="A327" s="21"/>
    </row>
    <row r="328" spans="1:1">
      <c r="A328" s="21"/>
    </row>
    <row r="329" spans="1:1">
      <c r="A329" s="21"/>
    </row>
    <row r="330" spans="1:1">
      <c r="A330" s="21"/>
    </row>
    <row r="331" spans="1:1">
      <c r="A331" s="21"/>
    </row>
    <row r="332" spans="1:1">
      <c r="A332" s="21"/>
    </row>
    <row r="333" spans="1:1">
      <c r="A333" s="21"/>
    </row>
    <row r="334" spans="1:1">
      <c r="A334" s="21"/>
    </row>
    <row r="335" spans="1:1">
      <c r="A335" s="21"/>
    </row>
    <row r="336" spans="1:1">
      <c r="A336" s="21"/>
    </row>
    <row r="337" spans="1:1">
      <c r="A337" s="21"/>
    </row>
    <row r="338" spans="1:1">
      <c r="A338" s="21"/>
    </row>
    <row r="339" spans="1:1">
      <c r="A339" s="21"/>
    </row>
    <row r="340" spans="1:1">
      <c r="A340" s="21"/>
    </row>
    <row r="341" spans="1:1">
      <c r="A341" s="21"/>
    </row>
    <row r="342" spans="1:1">
      <c r="A342" s="21"/>
    </row>
    <row r="343" spans="1:1">
      <c r="A343" s="21"/>
    </row>
    <row r="344" spans="1:1">
      <c r="A344" s="21"/>
    </row>
    <row r="345" spans="1:1">
      <c r="A345" s="21"/>
    </row>
    <row r="346" spans="1:1">
      <c r="A346" s="21"/>
    </row>
    <row r="347" spans="1:1">
      <c r="A347" s="21"/>
    </row>
    <row r="348" spans="1:1">
      <c r="A348" s="21"/>
    </row>
    <row r="349" spans="1:1">
      <c r="A349" s="21"/>
    </row>
    <row r="350" spans="1:1">
      <c r="A350" s="21"/>
    </row>
    <row r="351" spans="1:1">
      <c r="A351" s="21"/>
    </row>
    <row r="352" spans="1:1">
      <c r="A352" s="21"/>
    </row>
    <row r="353" spans="1:1">
      <c r="A353" s="21"/>
    </row>
    <row r="354" spans="1:1">
      <c r="A354" s="21"/>
    </row>
    <row r="355" spans="1:1">
      <c r="A355" s="21"/>
    </row>
    <row r="356" spans="1:1">
      <c r="A356" s="21"/>
    </row>
    <row r="357" spans="1:1">
      <c r="A357" s="21"/>
    </row>
    <row r="358" spans="1:1">
      <c r="A358" s="21"/>
    </row>
    <row r="359" spans="1:1">
      <c r="A359" s="21"/>
    </row>
    <row r="360" spans="1:1">
      <c r="A360" s="21"/>
    </row>
    <row r="361" spans="1:1">
      <c r="A361" s="21"/>
    </row>
    <row r="362" spans="1:1">
      <c r="A362" s="21"/>
    </row>
    <row r="363" spans="1:1">
      <c r="A363" s="21"/>
    </row>
    <row r="364" spans="1:1">
      <c r="A364" s="21"/>
    </row>
    <row r="365" spans="1:1">
      <c r="A365" s="21"/>
    </row>
    <row r="366" spans="1:1">
      <c r="A366" s="21"/>
    </row>
    <row r="367" spans="1:1">
      <c r="A367" s="21"/>
    </row>
    <row r="368" spans="1:1">
      <c r="A368" s="21"/>
    </row>
    <row r="369" spans="1:1">
      <c r="A369" s="21"/>
    </row>
    <row r="370" spans="1:1">
      <c r="A370" s="21"/>
    </row>
    <row r="371" spans="1:1">
      <c r="A371" s="21"/>
    </row>
    <row r="372" spans="1:1">
      <c r="A372" s="21"/>
    </row>
    <row r="373" spans="1:1">
      <c r="A373" s="21"/>
    </row>
    <row r="374" spans="1:1">
      <c r="A374" s="21"/>
    </row>
    <row r="375" spans="1:1">
      <c r="A375" s="21"/>
    </row>
    <row r="376" spans="1:1">
      <c r="A376" s="21"/>
    </row>
    <row r="377" spans="1:1">
      <c r="A377" s="21"/>
    </row>
    <row r="378" spans="1:1">
      <c r="A378" s="21"/>
    </row>
    <row r="379" spans="1:1">
      <c r="A379" s="21"/>
    </row>
    <row r="380" spans="1:1">
      <c r="A380" s="21"/>
    </row>
    <row r="381" spans="1:1">
      <c r="A381" s="21"/>
    </row>
    <row r="382" spans="1:1">
      <c r="A382" s="21"/>
    </row>
    <row r="383" spans="1:1">
      <c r="A383" s="21"/>
    </row>
    <row r="384" spans="1:1">
      <c r="A384" s="21"/>
    </row>
    <row r="385" spans="1:1">
      <c r="A385" s="21"/>
    </row>
    <row r="386" spans="1:1">
      <c r="A386" s="21"/>
    </row>
    <row r="387" spans="1:1">
      <c r="A387" s="21"/>
    </row>
    <row r="388" spans="1:1">
      <c r="A388" s="21"/>
    </row>
    <row r="389" spans="1:1">
      <c r="A389" s="21"/>
    </row>
    <row r="390" spans="1:1">
      <c r="A390" s="21"/>
    </row>
    <row r="391" spans="1:1">
      <c r="A391" s="21"/>
    </row>
    <row r="392" spans="1:1">
      <c r="A392" s="21"/>
    </row>
    <row r="393" spans="1:1">
      <c r="A393" s="21"/>
    </row>
    <row r="394" spans="1:1">
      <c r="A394" s="21"/>
    </row>
    <row r="395" spans="1:1">
      <c r="A395" s="21"/>
    </row>
    <row r="396" spans="1:1">
      <c r="A396" s="21"/>
    </row>
    <row r="397" spans="1:1">
      <c r="A397" s="21"/>
    </row>
    <row r="398" spans="1:1">
      <c r="A398" s="21"/>
    </row>
    <row r="399" spans="1:1">
      <c r="A399" s="21"/>
    </row>
    <row r="400" spans="1:1">
      <c r="A400" s="21"/>
    </row>
    <row r="401" spans="1:1">
      <c r="A401" s="21"/>
    </row>
    <row r="402" spans="1:1">
      <c r="A402" s="21"/>
    </row>
    <row r="403" spans="1:1">
      <c r="A403" s="21"/>
    </row>
    <row r="404" spans="1:1">
      <c r="A404" s="21"/>
    </row>
    <row r="405" spans="1:1">
      <c r="A405" s="21"/>
    </row>
    <row r="406" spans="1:1">
      <c r="A406" s="21"/>
    </row>
    <row r="407" spans="1:1">
      <c r="A407" s="21"/>
    </row>
    <row r="408" spans="1:1">
      <c r="A408" s="21"/>
    </row>
    <row r="409" spans="1:1">
      <c r="A409" s="21"/>
    </row>
    <row r="410" spans="1:1">
      <c r="A410" s="21"/>
    </row>
    <row r="411" spans="1:1">
      <c r="A411" s="21"/>
    </row>
    <row r="412" spans="1:1">
      <c r="A412" s="21"/>
    </row>
    <row r="413" spans="1:1">
      <c r="A413" s="21"/>
    </row>
    <row r="414" spans="1:1">
      <c r="A414" s="21"/>
    </row>
    <row r="415" spans="1:1">
      <c r="A415" s="21"/>
    </row>
    <row r="416" spans="1:1">
      <c r="A416" s="21"/>
    </row>
    <row r="417" spans="1:1">
      <c r="A417" s="21"/>
    </row>
    <row r="418" spans="1:1">
      <c r="A418" s="21"/>
    </row>
    <row r="419" spans="1:1">
      <c r="A419" s="21"/>
    </row>
    <row r="420" spans="1:1">
      <c r="A420" s="21"/>
    </row>
    <row r="421" spans="1:1">
      <c r="A421" s="21"/>
    </row>
    <row r="422" spans="1:1">
      <c r="A422" s="21"/>
    </row>
    <row r="423" spans="1:1">
      <c r="A423" s="21"/>
    </row>
    <row r="424" spans="1:1">
      <c r="A424" s="21"/>
    </row>
    <row r="425" spans="1:1">
      <c r="A425" s="21"/>
    </row>
    <row r="426" spans="1:1">
      <c r="A426" s="21"/>
    </row>
    <row r="427" spans="1:1">
      <c r="A427" s="21"/>
    </row>
    <row r="428" spans="1:1">
      <c r="A428" s="21"/>
    </row>
    <row r="429" spans="1:1">
      <c r="A429" s="21"/>
    </row>
    <row r="430" spans="1:1">
      <c r="A430" s="21"/>
    </row>
    <row r="431" spans="1:1">
      <c r="A431" s="21"/>
    </row>
    <row r="432" spans="1:1">
      <c r="A432" s="21"/>
    </row>
    <row r="433" spans="1:1">
      <c r="A433" s="21"/>
    </row>
    <row r="434" spans="1:1">
      <c r="A434" s="21"/>
    </row>
    <row r="435" spans="1:1">
      <c r="A435" s="21"/>
    </row>
    <row r="436" spans="1:1">
      <c r="A436" s="21"/>
    </row>
    <row r="437" spans="1:1">
      <c r="A437" s="21"/>
    </row>
    <row r="438" spans="1:1">
      <c r="A438" s="21"/>
    </row>
    <row r="439" spans="1:1">
      <c r="A439" s="21"/>
    </row>
    <row r="440" spans="1:1">
      <c r="A440" s="21"/>
    </row>
    <row r="441" spans="1:1">
      <c r="A441" s="21"/>
    </row>
    <row r="442" spans="1:1">
      <c r="A442" s="21"/>
    </row>
    <row r="443" spans="1:1">
      <c r="A443" s="21"/>
    </row>
    <row r="444" spans="1:1">
      <c r="A444" s="21"/>
    </row>
    <row r="445" spans="1:1">
      <c r="A445" s="21"/>
    </row>
    <row r="446" spans="1:1">
      <c r="A446" s="21"/>
    </row>
    <row r="447" spans="1:1">
      <c r="A447" s="21"/>
    </row>
    <row r="448" spans="1:1">
      <c r="A448" s="21"/>
    </row>
    <row r="449" spans="1:1">
      <c r="A449" s="21"/>
    </row>
    <row r="450" spans="1:1">
      <c r="A450" s="21"/>
    </row>
    <row r="451" spans="1:1">
      <c r="A451" s="21"/>
    </row>
    <row r="452" spans="1:1">
      <c r="A452" s="21"/>
    </row>
    <row r="453" spans="1:1">
      <c r="A453" s="21"/>
    </row>
    <row r="454" spans="1:1">
      <c r="A454" s="21"/>
    </row>
    <row r="455" spans="1:1">
      <c r="A455" s="21"/>
    </row>
    <row r="456" spans="1:1">
      <c r="A456" s="21"/>
    </row>
    <row r="457" spans="1:1">
      <c r="A457" s="21"/>
    </row>
    <row r="458" spans="1:1">
      <c r="A458" s="21"/>
    </row>
    <row r="459" spans="1:1">
      <c r="A459" s="21"/>
    </row>
    <row r="460" spans="1:1">
      <c r="A460" s="21"/>
    </row>
    <row r="461" spans="1:1">
      <c r="A461" s="21"/>
    </row>
    <row r="462" spans="1:1">
      <c r="A462" s="21"/>
    </row>
    <row r="463" spans="1:1">
      <c r="A463" s="21"/>
    </row>
    <row r="464" spans="1:1">
      <c r="A464" s="21"/>
    </row>
    <row r="465" spans="1:1">
      <c r="A465" s="21"/>
    </row>
    <row r="466" spans="1:1">
      <c r="A466" s="21"/>
    </row>
    <row r="467" spans="1:1">
      <c r="A467" s="21"/>
    </row>
    <row r="468" spans="1:1">
      <c r="A468" s="21"/>
    </row>
    <row r="469" spans="1:1">
      <c r="A469" s="21"/>
    </row>
    <row r="470" spans="1:1">
      <c r="A470" s="21"/>
    </row>
    <row r="471" spans="1:1">
      <c r="A471" s="21"/>
    </row>
    <row r="472" spans="1:1">
      <c r="A472" s="21"/>
    </row>
    <row r="473" spans="1:1">
      <c r="A473" s="21"/>
    </row>
    <row r="474" spans="1:1">
      <c r="A474" s="21"/>
    </row>
    <row r="475" spans="1:1">
      <c r="A475" s="21"/>
    </row>
    <row r="476" spans="1:1">
      <c r="A476" s="21"/>
    </row>
    <row r="477" spans="1:1">
      <c r="A477" s="21"/>
    </row>
    <row r="478" spans="1:1">
      <c r="A478" s="21"/>
    </row>
    <row r="479" spans="1:1">
      <c r="A479" s="21"/>
    </row>
    <row r="480" spans="1:1">
      <c r="A480" s="21"/>
    </row>
    <row r="481" spans="1:1">
      <c r="A481" s="21"/>
    </row>
    <row r="482" spans="1:1">
      <c r="A482" s="21"/>
    </row>
    <row r="483" spans="1:1">
      <c r="A483" s="21"/>
    </row>
    <row r="484" spans="1:1">
      <c r="A484" s="21"/>
    </row>
    <row r="485" spans="1:1">
      <c r="A485" s="21"/>
    </row>
    <row r="486" spans="1:1">
      <c r="A486" s="21"/>
    </row>
    <row r="487" spans="1:1">
      <c r="A487" s="21"/>
    </row>
    <row r="488" spans="1:1">
      <c r="A488" s="21"/>
    </row>
    <row r="489" spans="1:1">
      <c r="A489" s="21"/>
    </row>
    <row r="490" spans="1:1">
      <c r="A490" s="21"/>
    </row>
    <row r="491" spans="1:1">
      <c r="A491" s="21"/>
    </row>
    <row r="492" spans="1:1">
      <c r="A492" s="21"/>
    </row>
    <row r="493" spans="1:1">
      <c r="A493" s="21"/>
    </row>
    <row r="494" spans="1:1">
      <c r="A494" s="21"/>
    </row>
    <row r="495" spans="1:1">
      <c r="A495" s="21"/>
    </row>
    <row r="496" spans="1:1">
      <c r="A496" s="21"/>
    </row>
    <row r="497" spans="1:1">
      <c r="A497" s="21"/>
    </row>
    <row r="498" spans="1:1">
      <c r="A498" s="21"/>
    </row>
    <row r="499" spans="1:1">
      <c r="A499" s="21"/>
    </row>
    <row r="500" spans="1:1">
      <c r="A500" s="21"/>
    </row>
    <row r="501" spans="1:1">
      <c r="A501" s="21"/>
    </row>
    <row r="502" spans="1:1">
      <c r="A502" s="21"/>
    </row>
    <row r="503" spans="1:1">
      <c r="A503" s="21"/>
    </row>
    <row r="504" spans="1:1">
      <c r="A504" s="21"/>
    </row>
    <row r="505" spans="1:1">
      <c r="A505" s="21"/>
    </row>
    <row r="506" spans="1:1">
      <c r="A506" s="21"/>
    </row>
    <row r="507" spans="1:1">
      <c r="A507" s="21"/>
    </row>
    <row r="508" spans="1:1">
      <c r="A508" s="21"/>
    </row>
    <row r="509" spans="1:1">
      <c r="A509" s="21"/>
    </row>
    <row r="510" spans="1:1">
      <c r="A510" s="21"/>
    </row>
    <row r="511" spans="1:1">
      <c r="A511" s="21"/>
    </row>
    <row r="512" spans="1:1">
      <c r="A512" s="21"/>
    </row>
    <row r="513" spans="1:1">
      <c r="A513" s="21"/>
    </row>
    <row r="514" spans="1:1">
      <c r="A514" s="21"/>
    </row>
    <row r="515" spans="1:1">
      <c r="A515" s="21"/>
    </row>
    <row r="516" spans="1:1">
      <c r="A516" s="21"/>
    </row>
    <row r="517" spans="1:1">
      <c r="A517" s="21"/>
    </row>
    <row r="518" spans="1:1">
      <c r="A518" s="21"/>
    </row>
    <row r="519" spans="1:1">
      <c r="A519" s="21"/>
    </row>
    <row r="520" spans="1:1">
      <c r="A520" s="21"/>
    </row>
    <row r="521" spans="1:1">
      <c r="A521" s="21"/>
    </row>
    <row r="522" spans="1:1">
      <c r="A522" s="21"/>
    </row>
    <row r="523" spans="1:1">
      <c r="A523" s="21"/>
    </row>
    <row r="524" spans="1:1">
      <c r="A524" s="21"/>
    </row>
    <row r="525" spans="1:1">
      <c r="A525" s="21"/>
    </row>
    <row r="526" spans="1:1">
      <c r="A526" s="21"/>
    </row>
    <row r="527" spans="1:1">
      <c r="A527" s="21"/>
    </row>
    <row r="528" spans="1:1">
      <c r="A528" s="21"/>
    </row>
    <row r="529" spans="1:1">
      <c r="A529" s="21"/>
    </row>
    <row r="530" spans="1:1">
      <c r="A530" s="21"/>
    </row>
    <row r="531" spans="1:1">
      <c r="A531" s="21"/>
    </row>
    <row r="532" spans="1:1">
      <c r="A532" s="21"/>
    </row>
    <row r="533" spans="1:1">
      <c r="A533" s="21"/>
    </row>
    <row r="534" spans="1:1">
      <c r="A534" s="21"/>
    </row>
    <row r="535" spans="1:1">
      <c r="A535" s="21"/>
    </row>
    <row r="536" spans="1:1">
      <c r="A536" s="21"/>
    </row>
    <row r="537" spans="1:1">
      <c r="A537" s="21"/>
    </row>
    <row r="538" spans="1:1">
      <c r="A538" s="21"/>
    </row>
    <row r="539" spans="1:1">
      <c r="A539" s="21"/>
    </row>
    <row r="540" spans="1:1">
      <c r="A540" s="21"/>
    </row>
    <row r="541" spans="1:1">
      <c r="A541" s="21"/>
    </row>
  </sheetData>
  <mergeCells count="2">
    <mergeCell ref="A1:H1"/>
    <mergeCell ref="B2:F2"/>
  </mergeCells>
  <printOptions horizontalCentered="1"/>
  <pageMargins left="0.75" right="0.75" top="1" bottom="1" header="0.5" footer="0.5"/>
  <pageSetup scale="68" orientation="portrait" r:id="rId1"/>
  <headerFooter alignWithMargins="0">
    <oddFooter>&amp;L&amp;F
&amp;A&amp;R&amp;P of &amp;N</oddFooter>
  </headerFooter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sheetPr codeName="Sheet81">
    <tabColor rgb="FF0070C0"/>
  </sheetPr>
  <dimension ref="A1:AC62"/>
  <sheetViews>
    <sheetView zoomScaleNormal="100" workbookViewId="0">
      <selection activeCell="F18" sqref="F18:H37"/>
    </sheetView>
  </sheetViews>
  <sheetFormatPr defaultRowHeight="12.75"/>
  <cols>
    <col min="1" max="1" width="32.7109375" customWidth="1"/>
    <col min="2" max="2" width="12.85546875" customWidth="1"/>
    <col min="3" max="4" width="8.7109375" customWidth="1"/>
    <col min="5" max="5" width="11.7109375" customWidth="1"/>
    <col min="6" max="6" width="12.85546875" customWidth="1"/>
    <col min="7" max="8" width="11.5703125" customWidth="1"/>
    <col min="9" max="9" width="11.42578125" customWidth="1"/>
    <col min="10" max="10" width="12.85546875" customWidth="1"/>
    <col min="11" max="12" width="10.140625" customWidth="1"/>
    <col min="13" max="13" width="11.7109375" customWidth="1"/>
    <col min="14" max="14" width="12.85546875" customWidth="1"/>
    <col min="15" max="16" width="11.28515625" customWidth="1"/>
    <col min="17" max="21" width="12.5703125" customWidth="1"/>
    <col min="22" max="22" width="12.85546875" customWidth="1"/>
    <col min="23" max="24" width="11.42578125" customWidth="1"/>
    <col min="25" max="25" width="13" customWidth="1"/>
    <col min="26" max="26" width="12.85546875" customWidth="1"/>
    <col min="27" max="28" width="11.28515625" customWidth="1"/>
    <col min="29" max="29" width="10.28515625" customWidth="1"/>
  </cols>
  <sheetData>
    <row r="1" spans="1:29" ht="18.75" thickBot="1">
      <c r="A1" s="841" t="s">
        <v>394</v>
      </c>
      <c r="B1" s="841"/>
      <c r="C1" s="841"/>
      <c r="D1" s="841"/>
      <c r="E1" s="841"/>
      <c r="F1" s="841"/>
      <c r="G1" s="841"/>
      <c r="H1" s="841"/>
      <c r="I1" s="841"/>
      <c r="J1" s="841"/>
      <c r="K1" s="841"/>
      <c r="L1" s="841"/>
      <c r="M1" s="841"/>
      <c r="N1" s="841"/>
      <c r="O1" s="841"/>
      <c r="P1" s="841"/>
      <c r="Q1" s="841"/>
      <c r="R1" s="841"/>
      <c r="S1" s="841"/>
      <c r="T1" s="841"/>
      <c r="U1" s="841"/>
      <c r="V1" s="841"/>
      <c r="W1" s="841"/>
      <c r="X1" s="841"/>
      <c r="Y1" s="841"/>
    </row>
    <row r="2" spans="1:29" ht="13.5" thickBot="1">
      <c r="A2" s="648"/>
      <c r="B2" s="834" t="s">
        <v>132</v>
      </c>
      <c r="C2" s="835"/>
      <c r="D2" s="835"/>
      <c r="E2" s="835"/>
      <c r="F2" s="835"/>
      <c r="G2" s="835"/>
      <c r="H2" s="835"/>
      <c r="I2" s="835"/>
      <c r="J2" s="835"/>
      <c r="K2" s="835"/>
      <c r="L2" s="835"/>
      <c r="M2" s="835"/>
      <c r="N2" s="835"/>
      <c r="O2" s="835"/>
      <c r="P2" s="835"/>
      <c r="Q2" s="835"/>
      <c r="R2" s="835"/>
      <c r="S2" s="835"/>
      <c r="T2" s="835"/>
      <c r="U2" s="837"/>
      <c r="V2" s="834" t="s">
        <v>133</v>
      </c>
      <c r="W2" s="835"/>
      <c r="X2" s="835"/>
      <c r="Y2" s="837"/>
      <c r="Z2" s="834" t="s">
        <v>395</v>
      </c>
      <c r="AA2" s="835"/>
      <c r="AB2" s="835"/>
      <c r="AC2" s="837"/>
    </row>
    <row r="3" spans="1:29">
      <c r="A3" s="483"/>
      <c r="B3" s="842" t="s">
        <v>127</v>
      </c>
      <c r="C3" s="843"/>
      <c r="D3" s="843"/>
      <c r="E3" s="844"/>
      <c r="F3" s="842" t="s">
        <v>114</v>
      </c>
      <c r="G3" s="843"/>
      <c r="H3" s="843"/>
      <c r="I3" s="844"/>
      <c r="J3" s="843" t="s">
        <v>33</v>
      </c>
      <c r="K3" s="843"/>
      <c r="L3" s="843"/>
      <c r="M3" s="844"/>
      <c r="N3" s="836" t="s">
        <v>34</v>
      </c>
      <c r="O3" s="843"/>
      <c r="P3" s="843"/>
      <c r="Q3" s="844"/>
      <c r="R3" s="836" t="s">
        <v>138</v>
      </c>
      <c r="S3" s="843"/>
      <c r="T3" s="843"/>
      <c r="U3" s="844"/>
      <c r="V3" s="847"/>
      <c r="W3" s="847"/>
      <c r="X3" s="847"/>
      <c r="Y3" s="848"/>
      <c r="Z3" s="846"/>
      <c r="AA3" s="847"/>
      <c r="AB3" s="847"/>
      <c r="AC3" s="848"/>
    </row>
    <row r="4" spans="1:29" ht="13.5" thickBot="1">
      <c r="A4" s="649" t="s">
        <v>4</v>
      </c>
      <c r="B4" s="649" t="s">
        <v>36</v>
      </c>
      <c r="C4" s="650" t="s">
        <v>37</v>
      </c>
      <c r="D4" s="650" t="s">
        <v>38</v>
      </c>
      <c r="E4" s="651" t="s">
        <v>41</v>
      </c>
      <c r="F4" s="649" t="s">
        <v>36</v>
      </c>
      <c r="G4" s="650" t="s">
        <v>37</v>
      </c>
      <c r="H4" s="650" t="s">
        <v>38</v>
      </c>
      <c r="I4" s="651" t="s">
        <v>41</v>
      </c>
      <c r="J4" s="650" t="s">
        <v>36</v>
      </c>
      <c r="K4" s="650" t="s">
        <v>37</v>
      </c>
      <c r="L4" s="650" t="s">
        <v>38</v>
      </c>
      <c r="M4" s="651" t="s">
        <v>41</v>
      </c>
      <c r="N4" s="649" t="s">
        <v>36</v>
      </c>
      <c r="O4" s="650" t="s">
        <v>37</v>
      </c>
      <c r="P4" s="650" t="s">
        <v>38</v>
      </c>
      <c r="Q4" s="651" t="s">
        <v>41</v>
      </c>
      <c r="R4" s="649" t="s">
        <v>36</v>
      </c>
      <c r="S4" s="650" t="s">
        <v>37</v>
      </c>
      <c r="T4" s="650" t="s">
        <v>38</v>
      </c>
      <c r="U4" s="651" t="s">
        <v>41</v>
      </c>
      <c r="V4" s="650" t="s">
        <v>36</v>
      </c>
      <c r="W4" s="650" t="s">
        <v>37</v>
      </c>
      <c r="X4" s="650" t="s">
        <v>38</v>
      </c>
      <c r="Y4" s="651" t="s">
        <v>41</v>
      </c>
      <c r="Z4" s="649" t="s">
        <v>36</v>
      </c>
      <c r="AA4" s="650" t="s">
        <v>37</v>
      </c>
      <c r="AB4" s="650" t="s">
        <v>38</v>
      </c>
      <c r="AC4" s="651" t="s">
        <v>41</v>
      </c>
    </row>
    <row r="5" spans="1:29">
      <c r="A5" s="5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6" t="s">
        <v>42</v>
      </c>
      <c r="K5" s="6" t="s">
        <v>42</v>
      </c>
      <c r="L5" s="6" t="s">
        <v>42</v>
      </c>
      <c r="M5" s="7" t="s">
        <v>43</v>
      </c>
      <c r="N5" s="5" t="s">
        <v>42</v>
      </c>
      <c r="O5" s="6" t="s">
        <v>42</v>
      </c>
      <c r="P5" s="6" t="s">
        <v>42</v>
      </c>
      <c r="Q5" s="7" t="s">
        <v>43</v>
      </c>
      <c r="R5" s="5" t="s">
        <v>42</v>
      </c>
      <c r="S5" s="6" t="s">
        <v>42</v>
      </c>
      <c r="T5" s="6" t="s">
        <v>42</v>
      </c>
      <c r="U5" s="7" t="s">
        <v>43</v>
      </c>
      <c r="V5" s="6" t="s">
        <v>42</v>
      </c>
      <c r="W5" s="6" t="s">
        <v>42</v>
      </c>
      <c r="X5" s="6" t="s">
        <v>42</v>
      </c>
      <c r="Y5" s="7" t="s">
        <v>43</v>
      </c>
      <c r="Z5" s="5" t="s">
        <v>42</v>
      </c>
      <c r="AA5" s="6" t="s">
        <v>42</v>
      </c>
      <c r="AB5" s="6" t="s">
        <v>42</v>
      </c>
      <c r="AC5" s="7" t="s">
        <v>43</v>
      </c>
    </row>
    <row r="6" spans="1:29">
      <c r="A6" s="10"/>
      <c r="B6" s="132"/>
      <c r="C6" s="8"/>
      <c r="D6" s="8"/>
      <c r="E6" s="9"/>
      <c r="F6" s="132"/>
      <c r="G6" s="8"/>
      <c r="H6" s="8"/>
      <c r="I6" s="9"/>
      <c r="J6" s="8"/>
      <c r="K6" s="8"/>
      <c r="L6" s="8"/>
      <c r="M6" s="9"/>
      <c r="N6" s="132"/>
      <c r="O6" s="8"/>
      <c r="P6" s="8"/>
      <c r="Q6" s="9"/>
      <c r="R6" s="132"/>
      <c r="S6" s="8"/>
      <c r="T6" s="8"/>
      <c r="U6" s="9"/>
      <c r="V6" s="8"/>
      <c r="W6" s="8"/>
      <c r="X6" s="8"/>
      <c r="Y6" s="9"/>
      <c r="Z6" s="8"/>
      <c r="AA6" s="8"/>
      <c r="AB6" s="8"/>
      <c r="AC6" s="9"/>
    </row>
    <row r="7" spans="1:29">
      <c r="A7" s="153" t="s">
        <v>5</v>
      </c>
      <c r="B7" s="137">
        <f>'Sch TOU-PA Cust Fcst'!B6*'Non-Residential TSM UC Adj'!B7</f>
        <v>185968.48027637749</v>
      </c>
      <c r="C7" s="23">
        <f>'Sch TOU-PA Cust Fcst'!B6*'Non-Residential TSM UC Adj'!C7</f>
        <v>71674.790927749971</v>
      </c>
      <c r="D7" s="23">
        <f>'Sch TOU-PA Cust Fcst'!B6*'Non-Residential TSM UC Adj'!D7</f>
        <v>149717.52846708018</v>
      </c>
      <c r="E7" s="45">
        <f>IF(SUM(B7:D7)=0,0,SUM(B7:D7)/'Sch TOU-PA Cust Fcst'!B6)</f>
        <v>637.49733907857228</v>
      </c>
      <c r="F7" s="137">
        <f>'Sch TOU-PA Cust Fcst'!C6*'Non-Residential TSM UC Adj'!F7</f>
        <v>70252.51651929901</v>
      </c>
      <c r="G7" s="23">
        <f>'Sch TOU-PA Cust Fcst'!C6*'Non-Residential TSM UC Adj'!G7</f>
        <v>127452.44794603663</v>
      </c>
      <c r="H7" s="23">
        <f>'Sch TOU-PA Cust Fcst'!C6*'Non-Residential TSM UC Adj'!H7</f>
        <v>63068.571282669625</v>
      </c>
      <c r="I7" s="45">
        <f>IF(SUM(F7:H7)=0,0,SUM(F7:H7)/'Sch TOU-PA Cust Fcst'!C6)</f>
        <v>1247.7202667368672</v>
      </c>
      <c r="J7" s="137">
        <f>'Sch TOU-PA Cust Fcst'!D6*'Non-Residential TSM UC Adj'!J7</f>
        <v>4241.2271084480035</v>
      </c>
      <c r="K7" s="23">
        <f>'Sch TOU-PA Cust Fcst'!D6*'Non-Residential TSM UC Adj'!K7</f>
        <v>7317.8439012078443</v>
      </c>
      <c r="L7" s="23">
        <f>'Sch TOU-PA Cust Fcst'!D6*'Non-Residential TSM UC Adj'!L7</f>
        <v>3621.1619875217011</v>
      </c>
      <c r="M7" s="45">
        <f>IF(SUM(J7:L7)=0,0,SUM(J7:L7)/'Sch TOU-PA Cust Fcst'!D6)</f>
        <v>1265.0194164314623</v>
      </c>
      <c r="N7" s="137">
        <f>'Sch TOU-PA Cust Fcst'!E6*'Non-Residential TSM UC Adj'!N7</f>
        <v>56283.378902458593</v>
      </c>
      <c r="O7" s="23">
        <f>'Sch TOU-PA Cust Fcst'!E6*'Non-Residential TSM UC Adj'!O7</f>
        <v>82325.743888588244</v>
      </c>
      <c r="P7" s="23">
        <f>'Sch TOU-PA Cust Fcst'!E6*'Non-Residential TSM UC Adj'!P7</f>
        <v>40738.072359619138</v>
      </c>
      <c r="Q7" s="45">
        <f>IF(SUM(N7:P7)=0,0,SUM(N7:P7)/'Sch TOU-PA Cust Fcst'!E6)</f>
        <v>1328.4977418567848</v>
      </c>
      <c r="R7" s="137">
        <f>B7+F7+J7+N7</f>
        <v>316745.60280658311</v>
      </c>
      <c r="S7" s="23">
        <f>C7+G7+K7+O7</f>
        <v>288770.8266635827</v>
      </c>
      <c r="T7" s="23">
        <f>D7+H7+L7+P7</f>
        <v>257145.33409689067</v>
      </c>
      <c r="U7" s="45">
        <f>IF(SUM(R7:T7)=0,0,SUM(R7:T7)/'Sch PA-T-1 Cust Fcst'!F6)</f>
        <v>50744.809621591558</v>
      </c>
      <c r="V7" s="37">
        <f>'Sch TOU-PA Cust Fcst'!G6*'Non-Residential TSM UC Adj'!R7</f>
        <v>0</v>
      </c>
      <c r="W7" s="23">
        <f>'Sch TOU-PA Cust Fcst'!G6*'Non-Residential TSM UC Adj'!S7</f>
        <v>0</v>
      </c>
      <c r="X7" s="23">
        <f>'Sch TOU-PA Cust Fcst'!G6*'Non-Residential TSM UC Adj'!T7</f>
        <v>0</v>
      </c>
      <c r="Y7" s="45">
        <f>IF(SUM(V7:X7)=0,0,SUM(V7:X7)/'Sch TOU-PA Cust Fcst'!G6)</f>
        <v>0</v>
      </c>
      <c r="Z7" s="23">
        <f>R7+V7</f>
        <v>316745.60280658311</v>
      </c>
      <c r="AA7" s="23">
        <f>S7+W7</f>
        <v>288770.8266635827</v>
      </c>
      <c r="AB7" s="23">
        <f>T7+X7</f>
        <v>257145.33409689067</v>
      </c>
      <c r="AC7" s="45">
        <f>IF(SUM(Z7:AB7)=0,0,SUM(Z7:AB7)/'Sch PA-T-1 Cust Fcst'!H6)</f>
        <v>47925.653531503136</v>
      </c>
    </row>
    <row r="8" spans="1:29">
      <c r="A8" s="154" t="s">
        <v>6</v>
      </c>
      <c r="B8" s="137">
        <f>'Sch TOU-PA Cust Fcst'!B7*'Non-Residential TSM UC Adj'!B8</f>
        <v>488931.21575010044</v>
      </c>
      <c r="C8" s="23">
        <f>'Sch TOU-PA Cust Fcst'!B7*'Non-Residential TSM UC Adj'!C8</f>
        <v>62813.588293489796</v>
      </c>
      <c r="D8" s="23">
        <f>'Sch TOU-PA Cust Fcst'!B7*'Non-Residential TSM UC Adj'!D8</f>
        <v>131207.8496738105</v>
      </c>
      <c r="E8" s="45">
        <f>IF(SUM(B8:D8)=0,0,SUM(B8:D8)/'Sch TOU-PA Cust Fcst'!B7)</f>
        <v>1219.5583102096441</v>
      </c>
      <c r="F8" s="137">
        <f>'Sch TOU-PA Cust Fcst'!C7*'Non-Residential TSM UC Adj'!F8</f>
        <v>216808.00552606635</v>
      </c>
      <c r="G8" s="23">
        <f>'Sch TOU-PA Cust Fcst'!C7*'Non-Residential TSM UC Adj'!G8</f>
        <v>131111.36989664054</v>
      </c>
      <c r="H8" s="23">
        <f>'Sch TOU-PA Cust Fcst'!C7*'Non-Residential TSM UC Adj'!H8</f>
        <v>64879.152276430475</v>
      </c>
      <c r="I8" s="45">
        <f>IF(SUM(F8:H8)=0,0,SUM(F8:H8)/'Sch TOU-PA Cust Fcst'!C7)</f>
        <v>1919.9931520890109</v>
      </c>
      <c r="J8" s="137">
        <f>'Sch TOU-PA Cust Fcst'!D7*'Non-Residential TSM UC Adj'!J8</f>
        <v>14844.294879568015</v>
      </c>
      <c r="K8" s="23">
        <f>'Sch TOU-PA Cust Fcst'!D7*'Non-Residential TSM UC Adj'!K8</f>
        <v>8537.4845514091521</v>
      </c>
      <c r="L8" s="23">
        <f>'Sch TOU-PA Cust Fcst'!D7*'Non-Residential TSM UC Adj'!L8</f>
        <v>4224.6889854419842</v>
      </c>
      <c r="M8" s="45">
        <f>IF(SUM(J8:L8)=0,0,SUM(J8:L8)/'Sch TOU-PA Cust Fcst'!D7)</f>
        <v>1971.8906011727963</v>
      </c>
      <c r="N8" s="137">
        <f>'Sch TOU-PA Cust Fcst'!E7*'Non-Residential TSM UC Adj'!N8</f>
        <v>60035.604162622491</v>
      </c>
      <c r="O8" s="23">
        <f>'Sch TOU-PA Cust Fcst'!E7*'Non-Residential TSM UC Adj'!O8</f>
        <v>29271.375604831377</v>
      </c>
      <c r="P8" s="23">
        <f>'Sch TOU-PA Cust Fcst'!E7*'Non-Residential TSM UC Adj'!P8</f>
        <v>14484.647950086804</v>
      </c>
      <c r="Q8" s="45">
        <f>IF(SUM(N8:P8)=0,0,SUM(N8:P8)/'Sch TOU-PA Cust Fcst'!E7)</f>
        <v>2162.3255774487639</v>
      </c>
      <c r="R8" s="137">
        <f t="shared" ref="R8:T37" si="0">B8+F8+J8+N8</f>
        <v>780619.12031835737</v>
      </c>
      <c r="S8" s="23">
        <f t="shared" si="0"/>
        <v>231733.81834637086</v>
      </c>
      <c r="T8" s="23">
        <f t="shared" si="0"/>
        <v>214796.33888576977</v>
      </c>
      <c r="U8" s="45">
        <f>IF(SUM(R8:T8)=0,0,SUM(R8:T8)/'Sch PA-T-1 Cust Fcst'!F7)</f>
        <v>153393.65969381225</v>
      </c>
      <c r="V8" s="37">
        <f>'Sch TOU-PA Cust Fcst'!G7*'Non-Residential TSM UC Adj'!R8</f>
        <v>0</v>
      </c>
      <c r="W8" s="23">
        <f>'Sch TOU-PA Cust Fcst'!G7*'Non-Residential TSM UC Adj'!S8</f>
        <v>0</v>
      </c>
      <c r="X8" s="23">
        <f>'Sch TOU-PA Cust Fcst'!G7*'Non-Residential TSM UC Adj'!T8</f>
        <v>0</v>
      </c>
      <c r="Y8" s="45">
        <f>IF(SUM(V8:X8)=0,0,SUM(V8:X8)/'Sch TOU-PA Cust Fcst'!G7)</f>
        <v>0</v>
      </c>
      <c r="Z8" s="23">
        <f t="shared" ref="Z8:AB37" si="1">R8+V8</f>
        <v>780619.12031835737</v>
      </c>
      <c r="AA8" s="23">
        <f t="shared" si="1"/>
        <v>231733.81834637086</v>
      </c>
      <c r="AB8" s="23">
        <f t="shared" si="1"/>
        <v>214796.33888576977</v>
      </c>
      <c r="AC8" s="45">
        <f>IF(SUM(Z8:AB8)=0,0,SUM(Z8:AB8)/'Sch PA-T-1 Cust Fcst'!H7)</f>
        <v>153393.65969381225</v>
      </c>
    </row>
    <row r="9" spans="1:29">
      <c r="A9" s="155" t="s">
        <v>7</v>
      </c>
      <c r="B9" s="137">
        <f>'Sch TOU-PA Cust Fcst'!B8*'Non-Residential TSM UC Adj'!B9</f>
        <v>258435.07118219594</v>
      </c>
      <c r="C9" s="23">
        <f>'Sch TOU-PA Cust Fcst'!B8*'Non-Residential TSM UC Adj'!C9</f>
        <v>46798.97455635012</v>
      </c>
      <c r="D9" s="23">
        <f>'Sch TOU-PA Cust Fcst'!B8*'Non-Residential TSM UC Adj'!D9</f>
        <v>69352.720541871255</v>
      </c>
      <c r="E9" s="45">
        <f>IF(SUM(B9:D9)=0,0,SUM(B9:D9)/'Sch TOU-PA Cust Fcst'!B8)</f>
        <v>1265.495832028437</v>
      </c>
      <c r="F9" s="137">
        <f>'Sch TOU-PA Cust Fcst'!C8*'Non-Residential TSM UC Adj'!F9</f>
        <v>425548.73642790696</v>
      </c>
      <c r="G9" s="23">
        <f>'Sch TOU-PA Cust Fcst'!C8*'Non-Residential TSM UC Adj'!G9</f>
        <v>151559.59493316634</v>
      </c>
      <c r="H9" s="23">
        <f>'Sch TOU-PA Cust Fcst'!C8*'Non-Residential TSM UC Adj'!H9</f>
        <v>63672.098280589911</v>
      </c>
      <c r="I9" s="45">
        <f>IF(SUM(F9:H9)=0,0,SUM(F9:H9)/'Sch TOU-PA Cust Fcst'!C8)</f>
        <v>3036.8740741311053</v>
      </c>
      <c r="J9" s="137">
        <f>'Sch TOU-PA Cust Fcst'!D8*'Non-Residential TSM UC Adj'!J9</f>
        <v>25447.362650688025</v>
      </c>
      <c r="K9" s="23">
        <f>'Sch TOU-PA Cust Fcst'!D8*'Non-Residential TSM UC Adj'!K9</f>
        <v>8619.5030293743894</v>
      </c>
      <c r="L9" s="23">
        <f>'Sch TOU-PA Cust Fcst'!D8*'Non-Residential TSM UC Adj'!L9</f>
        <v>3621.1619875217011</v>
      </c>
      <c r="M9" s="45">
        <f>IF(SUM(J9:L9)=0,0,SUM(J9:L9)/'Sch TOU-PA Cust Fcst'!D8)</f>
        <v>3140.6689722986762</v>
      </c>
      <c r="N9" s="137">
        <f>'Sch TOU-PA Cust Fcst'!E8*'Non-Residential TSM UC Adj'!N9</f>
        <v>317688.40536054404</v>
      </c>
      <c r="O9" s="23">
        <f>'Sch TOU-PA Cust Fcst'!E8*'Non-Residential TSM UC Adj'!O9</f>
        <v>91223.073727545619</v>
      </c>
      <c r="P9" s="23">
        <f>'Sch TOU-PA Cust Fcst'!E8*'Non-Residential TSM UC Adj'!P9</f>
        <v>38323.964367938002</v>
      </c>
      <c r="Q9" s="45">
        <f>IF(SUM(N9:P9)=0,0,SUM(N9:P9)/'Sch TOU-PA Cust Fcst'!E8)</f>
        <v>3521.5389248506117</v>
      </c>
      <c r="R9" s="137">
        <f t="shared" si="0"/>
        <v>1027119.5756213351</v>
      </c>
      <c r="S9" s="23">
        <f t="shared" si="0"/>
        <v>298201.14624643646</v>
      </c>
      <c r="T9" s="23">
        <f t="shared" si="0"/>
        <v>174969.94517792089</v>
      </c>
      <c r="U9" s="45">
        <f>IF(SUM(R9:T9)=0,0,SUM(R9:T9)/'Sch PA-T-1 Cust Fcst'!F8)</f>
        <v>45463.353546839164</v>
      </c>
      <c r="V9" s="37">
        <f>'Sch TOU-PA Cust Fcst'!G8*'Non-Residential TSM UC Adj'!R9</f>
        <v>0</v>
      </c>
      <c r="W9" s="23">
        <f>'Sch TOU-PA Cust Fcst'!G8*'Non-Residential TSM UC Adj'!S9</f>
        <v>0</v>
      </c>
      <c r="X9" s="23">
        <f>'Sch TOU-PA Cust Fcst'!G8*'Non-Residential TSM UC Adj'!T9</f>
        <v>0</v>
      </c>
      <c r="Y9" s="45">
        <f>IF(SUM(V9:X9)=0,0,SUM(V9:X9)/'Sch TOU-PA Cust Fcst'!G8)</f>
        <v>0</v>
      </c>
      <c r="Z9" s="23">
        <f t="shared" si="1"/>
        <v>1027119.5756213351</v>
      </c>
      <c r="AA9" s="23">
        <f t="shared" si="1"/>
        <v>298201.14624643646</v>
      </c>
      <c r="AB9" s="23">
        <f t="shared" si="1"/>
        <v>174969.94517792089</v>
      </c>
      <c r="AC9" s="45">
        <f>IF(SUM(Z9:AB9)=0,0,SUM(Z9:AB9)/'Sch PA-T-1 Cust Fcst'!H8)</f>
        <v>45463.353546839164</v>
      </c>
    </row>
    <row r="10" spans="1:29">
      <c r="A10" s="155" t="s">
        <v>241</v>
      </c>
      <c r="B10" s="137">
        <f>'Sch TOU-PA Cust Fcst'!B9*'Non-Residential TSM UC Adj'!B10</f>
        <v>185531.93454802918</v>
      </c>
      <c r="C10" s="23">
        <f>'Sch TOU-PA Cust Fcst'!B9*'Non-Residential TSM UC Adj'!C10</f>
        <v>14690.494391157417</v>
      </c>
      <c r="D10" s="23">
        <f>'Sch TOU-PA Cust Fcst'!B9*'Non-Residential TSM UC Adj'!D10</f>
        <v>19915.477182631948</v>
      </c>
      <c r="E10" s="45">
        <f>IF(SUM(B10:D10)=0,0,SUM(B10:D10)/'Sch TOU-PA Cust Fcst'!B9)</f>
        <v>2589.857719080218</v>
      </c>
      <c r="F10" s="137">
        <f>'Sch TOU-PA Cust Fcst'!C9*'Non-Residential TSM UC Adj'!F10</f>
        <v>465885.10954903555</v>
      </c>
      <c r="G10" s="23">
        <f>'Sch TOU-PA Cust Fcst'!C9*'Non-Residential TSM UC Adj'!G10</f>
        <v>71110.899992338716</v>
      </c>
      <c r="H10" s="23">
        <f>'Sch TOU-PA Cust Fcst'!C9*'Non-Residential TSM UC Adj'!H10</f>
        <v>29874.586397054034</v>
      </c>
      <c r="I10" s="45">
        <f>IF(SUM(F10:H10)=0,0,SUM(F10:H10)/'Sch TOU-PA Cust Fcst'!C9)</f>
        <v>5725.9656155396797</v>
      </c>
      <c r="J10" s="137">
        <f>'Sch TOU-PA Cust Fcst'!D9*'Non-Residential TSM UC Adj'!J10</f>
        <v>84117.670984218756</v>
      </c>
      <c r="K10" s="23">
        <f>'Sch TOU-PA Cust Fcst'!D9*'Non-Residential TSM UC Adj'!K10</f>
        <v>12210.962624947051</v>
      </c>
      <c r="L10" s="23">
        <f>'Sch TOU-PA Cust Fcst'!D9*'Non-Residential TSM UC Adj'!L10</f>
        <v>5129.9794823224101</v>
      </c>
      <c r="M10" s="45">
        <f>IF(SUM(J10:L10)=0,0,SUM(J10:L10)/'Sch TOU-PA Cust Fcst'!D9)</f>
        <v>5968.1537112640126</v>
      </c>
      <c r="N10" s="137">
        <f>'Sch TOU-PA Cust Fcst'!E9*'Non-Residential TSM UC Adj'!N10</f>
        <v>583679.48491438536</v>
      </c>
      <c r="O10" s="23">
        <f>'Sch TOU-PA Cust Fcst'!E9*'Non-Residential TSM UC Adj'!O10</f>
        <v>71829.19191145325</v>
      </c>
      <c r="P10" s="23">
        <f>'Sch TOU-PA Cust Fcst'!E9*'Non-Residential TSM UC Adj'!P10</f>
        <v>30176.349896014177</v>
      </c>
      <c r="Q10" s="45">
        <f>IF(SUM(N10:P10)=0,0,SUM(N10:P10)/'Sch TOU-PA Cust Fcst'!E9)</f>
        <v>6856.8502672185286</v>
      </c>
      <c r="R10" s="137">
        <f t="shared" si="0"/>
        <v>1319214.1999956688</v>
      </c>
      <c r="S10" s="23">
        <f t="shared" si="0"/>
        <v>169841.54891989642</v>
      </c>
      <c r="T10" s="23">
        <f t="shared" si="0"/>
        <v>85096.392958022567</v>
      </c>
      <c r="U10" s="45">
        <f>IF(SUM(R10:T10)=0,0,SUM(R10:T10)/'Sch PA-T-1 Cust Fcst'!F9)</f>
        <v>68441.397472764686</v>
      </c>
      <c r="V10" s="37">
        <f>'Sch TOU-PA Cust Fcst'!G9*'Non-Residential TSM UC Adj'!R10</f>
        <v>0</v>
      </c>
      <c r="W10" s="23">
        <f>'Sch TOU-PA Cust Fcst'!G9*'Non-Residential TSM UC Adj'!S10</f>
        <v>0</v>
      </c>
      <c r="X10" s="23">
        <f>'Sch TOU-PA Cust Fcst'!G9*'Non-Residential TSM UC Adj'!T10</f>
        <v>0</v>
      </c>
      <c r="Y10" s="45">
        <f>IF(SUM(V10:X10)=0,0,SUM(V10:X10)/'Sch TOU-PA Cust Fcst'!G9)</f>
        <v>0</v>
      </c>
      <c r="Z10" s="23">
        <f t="shared" si="1"/>
        <v>1319214.1999956688</v>
      </c>
      <c r="AA10" s="23">
        <f t="shared" si="1"/>
        <v>169841.54891989642</v>
      </c>
      <c r="AB10" s="23">
        <f t="shared" si="1"/>
        <v>85096.392958022567</v>
      </c>
      <c r="AC10" s="45">
        <f>IF(SUM(Z10:AB10)=0,0,SUM(Z10:AB10)/'Sch PA-T-1 Cust Fcst'!H9)</f>
        <v>68441.397472764686</v>
      </c>
    </row>
    <row r="11" spans="1:29">
      <c r="A11" s="155" t="s">
        <v>242</v>
      </c>
      <c r="B11" s="137">
        <f>'Sch TOU-PA Cust Fcst'!B10*'Non-Residential TSM UC Adj'!B11</f>
        <v>67664.587893987118</v>
      </c>
      <c r="C11" s="23">
        <f>'Sch TOU-PA Cust Fcst'!B10*'Non-Residential TSM UC Adj'!C11</f>
        <v>5357.7097191279991</v>
      </c>
      <c r="D11" s="23">
        <f>'Sch TOU-PA Cust Fcst'!B10*'Non-Residential TSM UC Adj'!D11</f>
        <v>7263.2916783716519</v>
      </c>
      <c r="E11" s="45">
        <f>IF(SUM(B11:D11)=0,0,SUM(B11:D11)/'Sch TOU-PA Cust Fcst'!B10)</f>
        <v>2589.8577190802184</v>
      </c>
      <c r="F11" s="137">
        <f>'Sch TOU-PA Cust Fcst'!C10*'Non-Residential TSM UC Adj'!F11</f>
        <v>131765.48552902017</v>
      </c>
      <c r="G11" s="23">
        <f>'Sch TOU-PA Cust Fcst'!C10*'Non-Residential TSM UC Adj'!G11</f>
        <v>20112.17373520691</v>
      </c>
      <c r="H11" s="23">
        <f>'Sch TOU-PA Cust Fcst'!C10*'Non-Residential TSM UC Adj'!H11</f>
        <v>8449.3779708839684</v>
      </c>
      <c r="I11" s="45">
        <f>IF(SUM(F11:H11)=0,0,SUM(F11:H11)/'Sch TOU-PA Cust Fcst'!C10)</f>
        <v>5725.9656155396806</v>
      </c>
      <c r="J11" s="137">
        <f>'Sch TOU-PA Cust Fcst'!D10*'Non-Residential TSM UC Adj'!J11</f>
        <v>24740.491465946692</v>
      </c>
      <c r="K11" s="23">
        <f>'Sch TOU-PA Cust Fcst'!D10*'Non-Residential TSM UC Adj'!K11</f>
        <v>3591.4595955726622</v>
      </c>
      <c r="L11" s="23">
        <f>'Sch TOU-PA Cust Fcst'!D10*'Non-Residential TSM UC Adj'!L11</f>
        <v>1508.8174948007088</v>
      </c>
      <c r="M11" s="45">
        <f>IF(SUM(J11:L11)=0,0,SUM(J11:L11)/'Sch TOU-PA Cust Fcst'!D10)</f>
        <v>5968.1537112640126</v>
      </c>
      <c r="N11" s="137">
        <f>'Sch TOU-PA Cust Fcst'!E10*'Non-Residential TSM UC Adj'!N11</f>
        <v>367718.07549606281</v>
      </c>
      <c r="O11" s="23">
        <f>'Sch TOU-PA Cust Fcst'!E10*'Non-Residential TSM UC Adj'!O11</f>
        <v>45252.390904215543</v>
      </c>
      <c r="P11" s="23">
        <f>'Sch TOU-PA Cust Fcst'!E10*'Non-Residential TSM UC Adj'!P11</f>
        <v>19011.10043448893</v>
      </c>
      <c r="Q11" s="45">
        <f>IF(SUM(N11:P11)=0,0,SUM(N11:P11)/'Sch TOU-PA Cust Fcst'!E10)</f>
        <v>6856.8502672185286</v>
      </c>
      <c r="R11" s="137">
        <f t="shared" si="0"/>
        <v>591888.6403850168</v>
      </c>
      <c r="S11" s="23">
        <f t="shared" si="0"/>
        <v>74313.733954123105</v>
      </c>
      <c r="T11" s="23">
        <f t="shared" si="0"/>
        <v>36232.587578545259</v>
      </c>
      <c r="U11" s="45">
        <f>IF(SUM(R11:T11)=0,0,SUM(R11:T11)/'Sch PA-T-1 Cust Fcst'!F10)</f>
        <v>30540.650518160222</v>
      </c>
      <c r="V11" s="37">
        <f>'Sch TOU-PA Cust Fcst'!G10*'Non-Residential TSM UC Adj'!R11</f>
        <v>0</v>
      </c>
      <c r="W11" s="23">
        <f>'Sch TOU-PA Cust Fcst'!G10*'Non-Residential TSM UC Adj'!S11</f>
        <v>0</v>
      </c>
      <c r="X11" s="23">
        <f>'Sch TOU-PA Cust Fcst'!G10*'Non-Residential TSM UC Adj'!T11</f>
        <v>0</v>
      </c>
      <c r="Y11" s="45">
        <f>IF(SUM(V11:X11)=0,0,SUM(V11:X11)/'Sch TOU-PA Cust Fcst'!G10)</f>
        <v>0</v>
      </c>
      <c r="Z11" s="23">
        <f t="shared" si="1"/>
        <v>591888.6403850168</v>
      </c>
      <c r="AA11" s="23">
        <f t="shared" si="1"/>
        <v>74313.733954123105</v>
      </c>
      <c r="AB11" s="23">
        <f t="shared" si="1"/>
        <v>36232.587578545259</v>
      </c>
      <c r="AC11" s="45">
        <f>IF(SUM(Z11:AB11)=0,0,SUM(Z11:AB11)/'Sch PA-T-1 Cust Fcst'!H10)</f>
        <v>30540.650518160222</v>
      </c>
    </row>
    <row r="12" spans="1:29">
      <c r="A12" s="155" t="s">
        <v>8</v>
      </c>
      <c r="B12" s="137">
        <f>'Sch TOU-PA Cust Fcst'!B11*'Non-Residential TSM UC Adj'!B12</f>
        <v>220434.39885791688</v>
      </c>
      <c r="C12" s="23">
        <f>'Sch TOU-PA Cust Fcst'!B11*'Non-Residential TSM UC Adj'!C12</f>
        <v>19583.392752020438</v>
      </c>
      <c r="D12" s="23">
        <f>'Sch TOU-PA Cust Fcst'!B11*'Non-Residential TSM UC Adj'!D12</f>
        <v>11012.087383337666</v>
      </c>
      <c r="E12" s="45">
        <f>IF(SUM(B12:D12)=0,0,SUM(B12:D12)/'Sch TOU-PA Cust Fcst'!B11)</f>
        <v>5341.0612551760632</v>
      </c>
      <c r="F12" s="137">
        <f>'Sch TOU-PA Cust Fcst'!C11*'Non-Residential TSM UC Adj'!F12</f>
        <v>508238.30132622062</v>
      </c>
      <c r="G12" s="23">
        <f>'Sch TOU-PA Cust Fcst'!C11*'Non-Residential TSM UC Adj'!G12</f>
        <v>33668.463857122435</v>
      </c>
      <c r="H12" s="23">
        <f>'Sch TOU-PA Cust Fcst'!C11*'Non-Residential TSM UC Adj'!H12</f>
        <v>10863.485962565104</v>
      </c>
      <c r="I12" s="45">
        <f>IF(SUM(F12:H12)=0,0,SUM(F12:H12)/'Sch TOU-PA Cust Fcst'!C11)</f>
        <v>15354.729198497449</v>
      </c>
      <c r="J12" s="137">
        <f>'Sch TOU-PA Cust Fcst'!D11*'Non-Residential TSM UC Adj'!J12</f>
        <v>222664.42319352023</v>
      </c>
      <c r="K12" s="23">
        <f>'Sch TOU-PA Cust Fcst'!D11*'Non-Residential TSM UC Adj'!K12</f>
        <v>14028.52660713435</v>
      </c>
      <c r="L12" s="23">
        <f>'Sch TOU-PA Cust Fcst'!D11*'Non-Residential TSM UC Adj'!L12</f>
        <v>4526.4524844021262</v>
      </c>
      <c r="M12" s="45">
        <f>IF(SUM(J12:L12)=0,0,SUM(J12:L12)/'Sch TOU-PA Cust Fcst'!D11)</f>
        <v>16081.293485670447</v>
      </c>
      <c r="N12" s="137">
        <f>'Sch TOU-PA Cust Fcst'!E11*'Non-Residential TSM UC Adj'!N12</f>
        <v>1003928.7140527428</v>
      </c>
      <c r="O12" s="23">
        <f>'Sch TOU-PA Cust Fcst'!E11*'Non-Residential TSM UC Adj'!O12</f>
        <v>160860.43842847386</v>
      </c>
      <c r="P12" s="23">
        <f>'Sch TOU-PA Cust Fcst'!E11*'Non-Residential TSM UC Adj'!P12</f>
        <v>51903.321821144382</v>
      </c>
      <c r="Q12" s="45">
        <f>IF(SUM(N12:P12)=0,0,SUM(N12:P12)/'Sch TOU-PA Cust Fcst'!E11)</f>
        <v>7073.7934552462848</v>
      </c>
      <c r="R12" s="137">
        <f t="shared" si="0"/>
        <v>1955265.8374304005</v>
      </c>
      <c r="S12" s="23">
        <f t="shared" si="0"/>
        <v>228140.82164475109</v>
      </c>
      <c r="T12" s="23">
        <f t="shared" si="0"/>
        <v>78305.34765144928</v>
      </c>
      <c r="U12" s="45">
        <f>IF(SUM(R12:T12)=0,0,SUM(R12:T12)/'Sch PA-T-1 Cust Fcst'!F11)</f>
        <v>25996.689732489667</v>
      </c>
      <c r="V12" s="37">
        <f>'Sch TOU-PA Cust Fcst'!G11*'Non-Residential TSM UC Adj'!R12</f>
        <v>0</v>
      </c>
      <c r="W12" s="23">
        <f>'Sch TOU-PA Cust Fcst'!G11*'Non-Residential TSM UC Adj'!S12</f>
        <v>0</v>
      </c>
      <c r="X12" s="23">
        <f>'Sch TOU-PA Cust Fcst'!G11*'Non-Residential TSM UC Adj'!T12</f>
        <v>0</v>
      </c>
      <c r="Y12" s="45">
        <f>IF(SUM(V12:X12)=0,0,SUM(V12:X12)/'Sch TOU-PA Cust Fcst'!G11)</f>
        <v>0</v>
      </c>
      <c r="Z12" s="23">
        <f t="shared" si="1"/>
        <v>1955265.8374304005</v>
      </c>
      <c r="AA12" s="23">
        <f t="shared" si="1"/>
        <v>228140.82164475109</v>
      </c>
      <c r="AB12" s="23">
        <f t="shared" si="1"/>
        <v>78305.34765144928</v>
      </c>
      <c r="AC12" s="45">
        <f>IF(SUM(Z12:AB12)=0,0,SUM(Z12:AB12)/'Sch PA-T-1 Cust Fcst'!H11)</f>
        <v>25996.689732489667</v>
      </c>
    </row>
    <row r="13" spans="1:29">
      <c r="A13" s="155" t="s">
        <v>9</v>
      </c>
      <c r="B13" s="137">
        <f>'Sch TOU-PA Cust Fcst'!B12*'Non-Residential TSM UC Adj'!B13</f>
        <v>61800.970547726072</v>
      </c>
      <c r="C13" s="23">
        <f>'Sch TOU-PA Cust Fcst'!B12*'Non-Residential TSM UC Adj'!C13</f>
        <v>8055.6122832010424</v>
      </c>
      <c r="D13" s="23">
        <f>'Sch TOU-PA Cust Fcst'!B12*'Non-Residential TSM UC Adj'!D13</f>
        <v>2811.5967787245104</v>
      </c>
      <c r="E13" s="45">
        <f>IF(SUM(B13:D13)=0,0,SUM(B13:D13)/'Sch TOU-PA Cust Fcst'!B12)</f>
        <v>6055.6816341376361</v>
      </c>
      <c r="F13" s="137">
        <f>'Sch TOU-PA Cust Fcst'!C12*'Non-Residential TSM UC Adj'!F13</f>
        <v>197648.22829353024</v>
      </c>
      <c r="G13" s="23">
        <f>'Sch TOU-PA Cust Fcst'!C12*'Non-Residential TSM UC Adj'!G13</f>
        <v>20167.699087764573</v>
      </c>
      <c r="H13" s="23">
        <f>'Sch TOU-PA Cust Fcst'!C12*'Non-Residential TSM UC Adj'!H13</f>
        <v>4224.6889854419842</v>
      </c>
      <c r="I13" s="45">
        <f>IF(SUM(F13:H13)=0,0,SUM(F13:H13)/'Sch TOU-PA Cust Fcst'!C12)</f>
        <v>15860.044026195485</v>
      </c>
      <c r="J13" s="137">
        <f>'Sch TOU-PA Cust Fcst'!D12*'Non-Residential TSM UC Adj'!J13</f>
        <v>14844.294879568015</v>
      </c>
      <c r="K13" s="23">
        <f>'Sch TOU-PA Cust Fcst'!D12*'Non-Residential TSM UC Adj'!K13</f>
        <v>1440.5499348403266</v>
      </c>
      <c r="L13" s="23">
        <f>'Sch TOU-PA Cust Fcst'!D12*'Non-Residential TSM UC Adj'!L13</f>
        <v>301.76349896014176</v>
      </c>
      <c r="M13" s="45">
        <f>IF(SUM(J13:L13)=0,0,SUM(J13:L13)/'Sch TOU-PA Cust Fcst'!D12)</f>
        <v>16586.608313368484</v>
      </c>
      <c r="N13" s="137">
        <f>'Sch TOU-PA Cust Fcst'!E12*'Non-Residential TSM UC Adj'!N13</f>
        <v>779212.11236070446</v>
      </c>
      <c r="O13" s="23">
        <f>'Sch TOU-PA Cust Fcst'!E12*'Non-Residential TSM UC Adj'!O13</f>
        <v>83235.924535663813</v>
      </c>
      <c r="P13" s="23">
        <f>'Sch TOU-PA Cust Fcst'!E12*'Non-Residential TSM UC Adj'!P13</f>
        <v>26856.951407452616</v>
      </c>
      <c r="Q13" s="45">
        <f>IF(SUM(N13:P13)=0,0,SUM(N13:P13)/'Sch TOU-PA Cust Fcst'!E12)</f>
        <v>9992.1908798182121</v>
      </c>
      <c r="R13" s="137">
        <f t="shared" si="0"/>
        <v>1053505.6060815288</v>
      </c>
      <c r="S13" s="23">
        <f t="shared" si="0"/>
        <v>112899.78584146975</v>
      </c>
      <c r="T13" s="23">
        <f t="shared" si="0"/>
        <v>34195.000670579255</v>
      </c>
      <c r="U13" s="45">
        <f>IF(SUM(R13:T13)=0,0,SUM(R13:T13)/'Sch PA-T-1 Cust Fcst'!F12)</f>
        <v>20349.159196501318</v>
      </c>
      <c r="V13" s="37">
        <f>'Sch TOU-PA Cust Fcst'!G12*'Non-Residential TSM UC Adj'!R13</f>
        <v>0</v>
      </c>
      <c r="W13" s="23">
        <f>'Sch TOU-PA Cust Fcst'!G12*'Non-Residential TSM UC Adj'!S13</f>
        <v>0</v>
      </c>
      <c r="X13" s="23">
        <f>'Sch TOU-PA Cust Fcst'!G12*'Non-Residential TSM UC Adj'!T13</f>
        <v>0</v>
      </c>
      <c r="Y13" s="45">
        <f>IF(SUM(V13:X13)=0,0,SUM(V13:X13)/'Sch TOU-PA Cust Fcst'!G12)</f>
        <v>0</v>
      </c>
      <c r="Z13" s="23">
        <f t="shared" si="1"/>
        <v>1053505.6060815288</v>
      </c>
      <c r="AA13" s="23">
        <f t="shared" si="1"/>
        <v>112899.78584146975</v>
      </c>
      <c r="AB13" s="23">
        <f t="shared" si="1"/>
        <v>34195.000670579255</v>
      </c>
      <c r="AC13" s="45">
        <f>IF(SUM(Z13:AB13)=0,0,SUM(Z13:AB13)/'Sch PA-T-1 Cust Fcst'!H12)</f>
        <v>20349.159196501318</v>
      </c>
    </row>
    <row r="14" spans="1:29">
      <c r="A14" s="155" t="s">
        <v>10</v>
      </c>
      <c r="B14" s="137">
        <f>'Sch TOU-PA Cust Fcst'!B13*'Non-Residential TSM UC Adj'!B14</f>
        <v>24681.032797330743</v>
      </c>
      <c r="C14" s="23">
        <f>'Sch TOU-PA Cust Fcst'!B13*'Non-Residential TSM UC Adj'!C14</f>
        <v>6381.8622353315295</v>
      </c>
      <c r="D14" s="23">
        <f>'Sch TOU-PA Cust Fcst'!B13*'Non-Residential TSM UC Adj'!D14</f>
        <v>1171.4986578018793</v>
      </c>
      <c r="E14" s="45">
        <f>IF(SUM(B14:D14)=0,0,SUM(B14:D14)/'Sch TOU-PA Cust Fcst'!B13)</f>
        <v>6446.8787380928306</v>
      </c>
      <c r="F14" s="137">
        <f>'Sch TOU-PA Cust Fcst'!C13*'Non-Residential TSM UC Adj'!F14</f>
        <v>25017.580353958088</v>
      </c>
      <c r="G14" s="23">
        <f>'Sch TOU-PA Cust Fcst'!C13*'Non-Residential TSM UC Adj'!G14</f>
        <v>4321.6498045209801</v>
      </c>
      <c r="H14" s="23">
        <f>'Sch TOU-PA Cust Fcst'!C13*'Non-Residential TSM UC Adj'!H14</f>
        <v>905.29049688042528</v>
      </c>
      <c r="I14" s="45">
        <f>IF(SUM(F14:H14)=0,0,SUM(F14:H14)/'Sch TOU-PA Cust Fcst'!C13)</f>
        <v>10081.506885119832</v>
      </c>
      <c r="J14" s="137">
        <f>'Sch TOU-PA Cust Fcst'!D13*'Non-Residential TSM UC Adj'!J14</f>
        <v>17195.078368712719</v>
      </c>
      <c r="K14" s="23">
        <f>'Sch TOU-PA Cust Fcst'!D13*'Non-Residential TSM UC Adj'!K14</f>
        <v>2881.0998696806532</v>
      </c>
      <c r="L14" s="23">
        <f>'Sch TOU-PA Cust Fcst'!D13*'Non-Residential TSM UC Adj'!L14</f>
        <v>603.52699792028352</v>
      </c>
      <c r="M14" s="45">
        <f>IF(SUM(J14:L14)=0,0,SUM(J14:L14)/'Sch TOU-PA Cust Fcst'!D13)</f>
        <v>10339.852618156827</v>
      </c>
      <c r="N14" s="137">
        <f>'Sch TOU-PA Cust Fcst'!E13*'Non-Residential TSM UC Adj'!N14</f>
        <v>420249.22913835745</v>
      </c>
      <c r="O14" s="23">
        <f>'Sch TOU-PA Cust Fcst'!E13*'Non-Residential TSM UC Adj'!O14</f>
        <v>69146.396872335681</v>
      </c>
      <c r="P14" s="23">
        <f>'Sch TOU-PA Cust Fcst'!E13*'Non-Residential TSM UC Adj'!P14</f>
        <v>14484.647950086804</v>
      </c>
      <c r="Q14" s="45">
        <f>IF(SUM(N14:P14)=0,0,SUM(N14:P14)/'Sch TOU-PA Cust Fcst'!E13)</f>
        <v>10497.505707516249</v>
      </c>
      <c r="R14" s="137">
        <f t="shared" si="0"/>
        <v>487142.92065835901</v>
      </c>
      <c r="S14" s="23">
        <f t="shared" si="0"/>
        <v>82731.008781868848</v>
      </c>
      <c r="T14" s="23">
        <f t="shared" si="0"/>
        <v>17164.964102689391</v>
      </c>
      <c r="U14" s="45">
        <f>IF(SUM(R14:T14)=0,0,SUM(R14:T14)/'Sch PA-T-1 Cust Fcst'!F13)</f>
        <v>13977.116512926601</v>
      </c>
      <c r="V14" s="37">
        <f>'Sch TOU-PA Cust Fcst'!G13*'Non-Residential TSM UC Adj'!R14</f>
        <v>0</v>
      </c>
      <c r="W14" s="23">
        <f>'Sch TOU-PA Cust Fcst'!G13*'Non-Residential TSM UC Adj'!S14</f>
        <v>0</v>
      </c>
      <c r="X14" s="23">
        <f>'Sch TOU-PA Cust Fcst'!G13*'Non-Residential TSM UC Adj'!T14</f>
        <v>0</v>
      </c>
      <c r="Y14" s="45">
        <f>IF(SUM(V14:X14)=0,0,SUM(V14:X14)/'Sch TOU-PA Cust Fcst'!G13)</f>
        <v>0</v>
      </c>
      <c r="Z14" s="23">
        <f t="shared" si="1"/>
        <v>487142.92065835901</v>
      </c>
      <c r="AA14" s="23">
        <f t="shared" si="1"/>
        <v>82731.008781868848</v>
      </c>
      <c r="AB14" s="23">
        <f t="shared" si="1"/>
        <v>17164.964102689391</v>
      </c>
      <c r="AC14" s="45">
        <f>IF(SUM(Z14:AB14)=0,0,SUM(Z14:AB14)/'Sch PA-T-1 Cust Fcst'!H13)</f>
        <v>13977.116512926601</v>
      </c>
    </row>
    <row r="15" spans="1:29">
      <c r="A15" s="155" t="s">
        <v>11</v>
      </c>
      <c r="B15" s="137">
        <f>'Sch TOU-PA Cust Fcst'!B14*'Non-Residential TSM UC Adj'!B15</f>
        <v>4936.206559466149</v>
      </c>
      <c r="C15" s="23">
        <f>'Sch TOU-PA Cust Fcst'!B14*'Non-Residential TSM UC Adj'!C15</f>
        <v>1881.4438705325249</v>
      </c>
      <c r="D15" s="23">
        <f>'Sch TOU-PA Cust Fcst'!B14*'Non-Residential TSM UC Adj'!D15</f>
        <v>234.29973156037588</v>
      </c>
      <c r="E15" s="45">
        <f>IF(SUM(B15:D15)=0,0,SUM(B15:D15)/'Sch TOU-PA Cust Fcst'!B14)</f>
        <v>7051.9501615590498</v>
      </c>
      <c r="F15" s="137">
        <f>'Sch TOU-PA Cust Fcst'!C14*'Non-Residential TSM UC Adj'!F15</f>
        <v>8339.1934513193628</v>
      </c>
      <c r="G15" s="23">
        <f>'Sch TOU-PA Cust Fcst'!C14*'Non-Residential TSM UC Adj'!G15</f>
        <v>2881.0998696806532</v>
      </c>
      <c r="H15" s="23">
        <f>'Sch TOU-PA Cust Fcst'!C14*'Non-Residential TSM UC Adj'!H15</f>
        <v>865.67585029149416</v>
      </c>
      <c r="I15" s="45">
        <f>IF(SUM(F15:H15)=0,0,SUM(F15:H15)/'Sch TOU-PA Cust Fcst'!C14)</f>
        <v>12085.96917129151</v>
      </c>
      <c r="J15" s="137">
        <f>'Sch TOU-PA Cust Fcst'!D14*'Non-Residential TSM UC Adj'!J15</f>
        <v>0</v>
      </c>
      <c r="K15" s="23">
        <f>'Sch TOU-PA Cust Fcst'!D14*'Non-Residential TSM UC Adj'!K15</f>
        <v>0</v>
      </c>
      <c r="L15" s="23">
        <f>'Sch TOU-PA Cust Fcst'!D14*'Non-Residential TSM UC Adj'!L15</f>
        <v>0</v>
      </c>
      <c r="M15" s="45">
        <f>IF(SUM(J15:L15)=0,0,SUM(J15:L15)/'Sch TOU-PA Cust Fcst'!D14)</f>
        <v>0</v>
      </c>
      <c r="N15" s="137">
        <f>'Sch TOU-PA Cust Fcst'!E14*'Non-Residential TSM UC Adj'!N15</f>
        <v>805477.68918185181</v>
      </c>
      <c r="O15" s="23">
        <f>'Sch TOU-PA Cust Fcst'!E14*'Non-Residential TSM UC Adj'!O15</f>
        <v>66265.297002655017</v>
      </c>
      <c r="P15" s="23">
        <f>'Sch TOU-PA Cust Fcst'!E14*'Non-Residential TSM UC Adj'!P15</f>
        <v>39821.089113408729</v>
      </c>
      <c r="Q15" s="45">
        <f>IF(SUM(N15:P15)=0,0,SUM(N15:P15)/'Sch TOU-PA Cust Fcst'!E14)</f>
        <v>19816.610332563381</v>
      </c>
      <c r="R15" s="137">
        <f t="shared" si="0"/>
        <v>818753.08919263736</v>
      </c>
      <c r="S15" s="23">
        <f t="shared" si="0"/>
        <v>71027.840742868197</v>
      </c>
      <c r="T15" s="23">
        <f t="shared" si="0"/>
        <v>40921.064695260597</v>
      </c>
      <c r="U15" s="45">
        <f>IF(SUM(R15:T15)=0,0,SUM(R15:T15)/'Sch PA-T-1 Cust Fcst'!F14)</f>
        <v>17560.414993033326</v>
      </c>
      <c r="V15" s="37">
        <f>'Sch TOU-PA Cust Fcst'!G14*'Non-Residential TSM UC Adj'!R15</f>
        <v>0</v>
      </c>
      <c r="W15" s="23">
        <f>'Sch TOU-PA Cust Fcst'!G14*'Non-Residential TSM UC Adj'!S15</f>
        <v>0</v>
      </c>
      <c r="X15" s="23">
        <f>'Sch TOU-PA Cust Fcst'!G14*'Non-Residential TSM UC Adj'!T15</f>
        <v>0</v>
      </c>
      <c r="Y15" s="45">
        <f>IF(SUM(V15:X15)=0,0,SUM(V15:X15)/'Sch TOU-PA Cust Fcst'!G14)</f>
        <v>0</v>
      </c>
      <c r="Z15" s="23">
        <f t="shared" si="1"/>
        <v>818753.08919263736</v>
      </c>
      <c r="AA15" s="23">
        <f t="shared" si="1"/>
        <v>71027.840742868197</v>
      </c>
      <c r="AB15" s="23">
        <f t="shared" si="1"/>
        <v>40921.064695260597</v>
      </c>
      <c r="AC15" s="45">
        <f>IF(SUM(Z15:AB15)=0,0,SUM(Z15:AB15)/'Sch PA-T-1 Cust Fcst'!H14)</f>
        <v>17560.414993033326</v>
      </c>
    </row>
    <row r="16" spans="1:29">
      <c r="A16" s="155" t="s">
        <v>120</v>
      </c>
      <c r="B16" s="137">
        <f>'Sch TOU-PA Cust Fcst'!B15*'Non-Residential TSM UC Adj'!B16</f>
        <v>0</v>
      </c>
      <c r="C16" s="23">
        <f>'Sch TOU-PA Cust Fcst'!B15*'Non-Residential TSM UC Adj'!C16</f>
        <v>0</v>
      </c>
      <c r="D16" s="23">
        <f>'Sch TOU-PA Cust Fcst'!B15*'Non-Residential TSM UC Adj'!D16</f>
        <v>0</v>
      </c>
      <c r="E16" s="45">
        <f>IF(SUM(B16:D16)=0,0,SUM(B16:D16)/'Sch TOU-PA Cust Fcst'!B15)</f>
        <v>0</v>
      </c>
      <c r="F16" s="137">
        <f>'Sch TOU-PA Cust Fcst'!C15*'Non-Residential TSM UC Adj'!F16</f>
        <v>16678.386902638726</v>
      </c>
      <c r="G16" s="23">
        <f>'Sch TOU-PA Cust Fcst'!C15*'Non-Residential TSM UC Adj'!G16</f>
        <v>3881.3806159244828</v>
      </c>
      <c r="H16" s="23">
        <f>'Sch TOU-PA Cust Fcst'!C15*'Non-Residential TSM UC Adj'!H16</f>
        <v>865.67585029149416</v>
      </c>
      <c r="I16" s="45">
        <f>IF(SUM(F16:H16)=0,0,SUM(F16:H16)/'Sch TOU-PA Cust Fcst'!C15)</f>
        <v>21425.4433688547</v>
      </c>
      <c r="J16" s="137">
        <f>'Sch TOU-PA Cust Fcst'!D15*'Non-Residential TSM UC Adj'!J16</f>
        <v>0</v>
      </c>
      <c r="K16" s="23">
        <f>'Sch TOU-PA Cust Fcst'!D15*'Non-Residential TSM UC Adj'!K16</f>
        <v>0</v>
      </c>
      <c r="L16" s="23">
        <f>'Sch TOU-PA Cust Fcst'!D15*'Non-Residential TSM UC Adj'!L16</f>
        <v>0</v>
      </c>
      <c r="M16" s="45">
        <f>IF(SUM(J16:L16)=0,0,SUM(J16:L16)/'Sch TOU-PA Cust Fcst'!D15)</f>
        <v>0</v>
      </c>
      <c r="N16" s="137">
        <f>'Sch TOU-PA Cust Fcst'!E15*'Non-Residential TSM UC Adj'!N16</f>
        <v>321002.68849353387</v>
      </c>
      <c r="O16" s="23">
        <f>'Sch TOU-PA Cust Fcst'!E15*'Non-Residential TSM UC Adj'!O16</f>
        <v>67924.160778678444</v>
      </c>
      <c r="P16" s="23">
        <f>'Sch TOU-PA Cust Fcst'!E15*'Non-Residential TSM UC Adj'!P16</f>
        <v>30298.654760202295</v>
      </c>
      <c r="Q16" s="45">
        <f>IF(SUM(N16:P16)=0,0,SUM(N16:P16)/'Sch TOU-PA Cust Fcst'!E15)</f>
        <v>11977.871543783274</v>
      </c>
      <c r="R16" s="137">
        <f t="shared" si="0"/>
        <v>337681.07539617259</v>
      </c>
      <c r="S16" s="23">
        <f t="shared" si="0"/>
        <v>71805.541394602929</v>
      </c>
      <c r="T16" s="23">
        <f t="shared" si="0"/>
        <v>31164.330610493787</v>
      </c>
      <c r="U16" s="45">
        <f>IF(SUM(R16:T16)=0,0,SUM(R16:T16)/'Sch PA-T-1 Cust Fcst'!F15)</f>
        <v>16948.113361587279</v>
      </c>
      <c r="V16" s="37">
        <f>'Sch TOU-PA Cust Fcst'!G15*'Non-Residential TSM UC Adj'!R16</f>
        <v>0</v>
      </c>
      <c r="W16" s="23">
        <f>'Sch TOU-PA Cust Fcst'!G15*'Non-Residential TSM UC Adj'!S16</f>
        <v>0</v>
      </c>
      <c r="X16" s="23">
        <f>'Sch TOU-PA Cust Fcst'!G15*'Non-Residential TSM UC Adj'!T16</f>
        <v>0</v>
      </c>
      <c r="Y16" s="45">
        <f>IF(SUM(V16:X16)=0,0,SUM(V16:X16)/'Sch TOU-PA Cust Fcst'!G15)</f>
        <v>0</v>
      </c>
      <c r="Z16" s="23">
        <f t="shared" si="1"/>
        <v>337681.07539617259</v>
      </c>
      <c r="AA16" s="23">
        <f t="shared" si="1"/>
        <v>71805.541394602929</v>
      </c>
      <c r="AB16" s="23">
        <f t="shared" si="1"/>
        <v>31164.330610493787</v>
      </c>
      <c r="AC16" s="45">
        <f>IF(SUM(Z16:AB16)=0,0,SUM(Z16:AB16)/'Sch PA-T-1 Cust Fcst'!H15)</f>
        <v>16948.113361587279</v>
      </c>
    </row>
    <row r="17" spans="1:29">
      <c r="A17" s="155" t="s">
        <v>121</v>
      </c>
      <c r="B17" s="137">
        <f>'Sch TOU-PA Cust Fcst'!B16*'Non-Residential TSM UC Adj'!J17</f>
        <v>0</v>
      </c>
      <c r="C17" s="23">
        <f>'Sch TOU-PA Cust Fcst'!B16*'Non-Residential TSM UC Adj'!K17</f>
        <v>0</v>
      </c>
      <c r="D17" s="23">
        <f>'Sch TOU-PA Cust Fcst'!B16*'Non-Residential TSM UC Adj'!L17</f>
        <v>0</v>
      </c>
      <c r="E17" s="45">
        <f>IF(SUM(B17:D17)=0,0,SUM(B17:D17)/'Sch TOU-PA Cust Fcst'!B16)</f>
        <v>0</v>
      </c>
      <c r="F17" s="137">
        <f>'Sch TOU-PA Cust Fcst'!C16*'Non-Residential TSM UC Adj'!F17</f>
        <v>0</v>
      </c>
      <c r="G17" s="23">
        <f>'Sch TOU-PA Cust Fcst'!C16*'Non-Residential TSM UC Adj'!G17</f>
        <v>0</v>
      </c>
      <c r="H17" s="23">
        <f>'Sch TOU-PA Cust Fcst'!C16*'Non-Residential TSM UC Adj'!H17</f>
        <v>0</v>
      </c>
      <c r="I17" s="45">
        <f>IF(SUM(F17:H17)=0,0,SUM(F17:H17)/'Sch TOU-PA Cust Fcst'!C16)</f>
        <v>0</v>
      </c>
      <c r="J17" s="137">
        <f>'Sch TOU-PA Cust Fcst'!D16*'Non-Residential TSM UC Adj'!J17</f>
        <v>0</v>
      </c>
      <c r="K17" s="23">
        <f>'Sch TOU-PA Cust Fcst'!D16*'Non-Residential TSM UC Adj'!K17</f>
        <v>0</v>
      </c>
      <c r="L17" s="23">
        <f>'Sch TOU-PA Cust Fcst'!D16*'Non-Residential TSM UC Adj'!L17</f>
        <v>0</v>
      </c>
      <c r="M17" s="45">
        <f>IF(SUM(J17:L17)=0,0,SUM(J17:L17)/'Sch TOU-PA Cust Fcst'!D16)</f>
        <v>0</v>
      </c>
      <c r="N17" s="137">
        <f>'Sch TOU-PA Cust Fcst'!E16*'Non-Residential TSM UC Adj'!N17</f>
        <v>100886.55924082494</v>
      </c>
      <c r="O17" s="23">
        <f>'Sch TOU-PA Cust Fcst'!E16*'Non-Residential TSM UC Adj'!O17</f>
        <v>21347.593387584657</v>
      </c>
      <c r="P17" s="23">
        <f>'Sch TOU-PA Cust Fcst'!E16*'Non-Residential TSM UC Adj'!P17</f>
        <v>9522.4343532064358</v>
      </c>
      <c r="Q17" s="45">
        <f>IF(SUM(N17:P17)=0,0,SUM(N17:P17)/'Sch TOU-PA Cust Fcst'!E16)</f>
        <v>11977.871543783274</v>
      </c>
      <c r="R17" s="137">
        <f t="shared" si="0"/>
        <v>100886.55924082494</v>
      </c>
      <c r="S17" s="23">
        <f t="shared" si="0"/>
        <v>21347.593387584657</v>
      </c>
      <c r="T17" s="23">
        <f t="shared" si="0"/>
        <v>9522.4343532064358</v>
      </c>
      <c r="U17" s="45">
        <f>IF(SUM(R17:T17)=0,0,SUM(R17:T17)/'Sch PA-T-1 Cust Fcst'!F16)</f>
        <v>5067.5610377544617</v>
      </c>
      <c r="V17" s="37">
        <f>'Sch TOU-PA Cust Fcst'!G16*'Non-Residential TSM UC Adj'!R17</f>
        <v>0</v>
      </c>
      <c r="W17" s="23">
        <f>'Sch TOU-PA Cust Fcst'!G16*'Non-Residential TSM UC Adj'!S17</f>
        <v>3129.9273129422195</v>
      </c>
      <c r="X17" s="23">
        <f>'Sch TOU-PA Cust Fcst'!G16*'Non-Residential TSM UC Adj'!T17</f>
        <v>967.82163835260417</v>
      </c>
      <c r="Y17" s="45">
        <f>IF(SUM(V17:X17)=0,0,SUM(V17:X17)/'Sch TOU-PA Cust Fcst'!G16)</f>
        <v>4097.7489512948232</v>
      </c>
      <c r="Z17" s="23">
        <f t="shared" si="1"/>
        <v>100886.55924082494</v>
      </c>
      <c r="AA17" s="23">
        <f t="shared" si="1"/>
        <v>24477.520700526875</v>
      </c>
      <c r="AB17" s="23">
        <f t="shared" si="1"/>
        <v>10490.255991559039</v>
      </c>
      <c r="AC17" s="45">
        <f>IF(SUM(Z17:AB17)=0,0,SUM(Z17:AB17)/'Sch PA-T-1 Cust Fcst'!H16)</f>
        <v>5225.1667666504172</v>
      </c>
    </row>
    <row r="18" spans="1:29">
      <c r="A18" s="155" t="s">
        <v>12</v>
      </c>
      <c r="B18" s="137">
        <f>'Sch TOU-PA Cust Fcst'!B17*'Non-Residential TSM UC Adj'!J18</f>
        <v>0</v>
      </c>
      <c r="C18" s="23">
        <f>'Sch TOU-PA Cust Fcst'!B17*'Non-Residential TSM UC Adj'!K18</f>
        <v>0</v>
      </c>
      <c r="D18" s="23">
        <f>'Sch TOU-PA Cust Fcst'!B17*'Non-Residential TSM UC Adj'!L18</f>
        <v>0</v>
      </c>
      <c r="E18" s="45">
        <f>IF(SUM(B18:D18)=0,0,SUM(B18:D18)/'Sch TOU-PA Cust Fcst'!B17)</f>
        <v>0</v>
      </c>
      <c r="F18" s="137">
        <f>'Sch TOU-PA Cust Fcst'!C17*'Non-Residential TSM UC Adj'!J18</f>
        <v>0</v>
      </c>
      <c r="G18" s="23">
        <f>'Sch TOU-PA Cust Fcst'!C17*'Non-Residential TSM UC Adj'!K18</f>
        <v>0</v>
      </c>
      <c r="H18" s="23">
        <f>'Sch TOU-PA Cust Fcst'!C17*'Non-Residential TSM UC Adj'!L18</f>
        <v>0</v>
      </c>
      <c r="I18" s="45">
        <f>IF(SUM(F18:H18)=0,0,SUM(F18:H18)/'Sch TOU-PA Cust Fcst'!C17)</f>
        <v>0</v>
      </c>
      <c r="J18" s="137">
        <f>'Sch TOU-PA Cust Fcst'!D17*'Non-Residential TSM UC Adj'!J18</f>
        <v>0</v>
      </c>
      <c r="K18" s="23">
        <f>'Sch TOU-PA Cust Fcst'!D17*'Non-Residential TSM UC Adj'!K18</f>
        <v>0</v>
      </c>
      <c r="L18" s="23">
        <f>'Sch TOU-PA Cust Fcst'!D17*'Non-Residential TSM UC Adj'!L18</f>
        <v>0</v>
      </c>
      <c r="M18" s="45">
        <f>IF(SUM(J18:L18)=0,0,SUM(J18:L18)/'Sch TOU-PA Cust Fcst'!D17)</f>
        <v>0</v>
      </c>
      <c r="N18" s="137">
        <f>'Sch TOU-PA Cust Fcst'!E17*'Non-Residential TSM UC Adj'!N18</f>
        <v>201773.11848164987</v>
      </c>
      <c r="O18" s="23">
        <f>'Sch TOU-PA Cust Fcst'!E17*'Non-Residential TSM UC Adj'!O18</f>
        <v>34828.101055976258</v>
      </c>
      <c r="P18" s="23">
        <f>'Sch TOU-PA Cust Fcst'!E17*'Non-Residential TSM UC Adj'!P18</f>
        <v>9522.4343532064358</v>
      </c>
      <c r="Q18" s="45">
        <f>IF(SUM(N18:P18)=0,0,SUM(N18:P18)/'Sch TOU-PA Cust Fcst'!E17)</f>
        <v>22374.877626439324</v>
      </c>
      <c r="R18" s="137">
        <f t="shared" si="0"/>
        <v>201773.11848164987</v>
      </c>
      <c r="S18" s="23">
        <f t="shared" si="0"/>
        <v>34828.101055976258</v>
      </c>
      <c r="T18" s="23">
        <f t="shared" si="0"/>
        <v>9522.4343532064358</v>
      </c>
      <c r="U18" s="45">
        <f>IF(SUM(R18:T18)=0,0,SUM(R18:T18)/'Sch PA-T-1 Cust Fcst'!F17)</f>
        <v>13673.536327268475</v>
      </c>
      <c r="V18" s="37">
        <f>'Sch TOU-PA Cust Fcst'!G17*'Non-Residential TSM UC Adj'!R18</f>
        <v>0</v>
      </c>
      <c r="W18" s="23">
        <f>'Sch TOU-PA Cust Fcst'!G17*'Non-Residential TSM UC Adj'!S18</f>
        <v>0</v>
      </c>
      <c r="X18" s="23">
        <f>'Sch TOU-PA Cust Fcst'!G17*'Non-Residential TSM UC Adj'!T18</f>
        <v>0</v>
      </c>
      <c r="Y18" s="45">
        <f>IF(SUM(V18:X18)=0,0,SUM(V18:X18)/'Sch TOU-PA Cust Fcst'!G17)</f>
        <v>0</v>
      </c>
      <c r="Z18" s="23">
        <f t="shared" si="1"/>
        <v>201773.11848164987</v>
      </c>
      <c r="AA18" s="23">
        <f t="shared" si="1"/>
        <v>34828.101055976258</v>
      </c>
      <c r="AB18" s="23">
        <f t="shared" si="1"/>
        <v>9522.4343532064358</v>
      </c>
      <c r="AC18" s="45">
        <f>IF(SUM(Z18:AB18)=0,0,SUM(Z18:AB18)/'Sch PA-T-1 Cust Fcst'!H17)</f>
        <v>13673.536327268475</v>
      </c>
    </row>
    <row r="19" spans="1:29">
      <c r="A19" s="155" t="s">
        <v>13</v>
      </c>
      <c r="B19" s="137">
        <f>'Sch TOU-PA Cust Fcst'!B18*'Non-Residential TSM UC Adj'!J19</f>
        <v>0</v>
      </c>
      <c r="C19" s="23">
        <f>'Sch TOU-PA Cust Fcst'!B18*'Non-Residential TSM UC Adj'!K19</f>
        <v>0</v>
      </c>
      <c r="D19" s="23">
        <f>'Sch TOU-PA Cust Fcst'!B18*'Non-Residential TSM UC Adj'!L19</f>
        <v>0</v>
      </c>
      <c r="E19" s="45">
        <f>IF(SUM(B19:D19)=0,0,SUM(B19:D19)/'Sch TOU-PA Cust Fcst'!B18)</f>
        <v>0</v>
      </c>
      <c r="F19" s="137">
        <f>'Sch TOU-PA Cust Fcst'!C18*'Non-Residential TSM UC Adj'!J19</f>
        <v>0</v>
      </c>
      <c r="G19" s="23">
        <f>'Sch TOU-PA Cust Fcst'!C18*'Non-Residential TSM UC Adj'!K19</f>
        <v>0</v>
      </c>
      <c r="H19" s="23">
        <f>'Sch TOU-PA Cust Fcst'!C18*'Non-Residential TSM UC Adj'!L19</f>
        <v>0</v>
      </c>
      <c r="I19" s="45">
        <f>IF(SUM(F19:H19)=0,0,SUM(F19:H19)/'Sch TOU-PA Cust Fcst'!C18)</f>
        <v>0</v>
      </c>
      <c r="J19" s="137">
        <f>'Sch TOU-PA Cust Fcst'!D18*'Non-Residential TSM UC Adj'!J19</f>
        <v>0</v>
      </c>
      <c r="K19" s="23">
        <f>'Sch TOU-PA Cust Fcst'!D18*'Non-Residential TSM UC Adj'!K19</f>
        <v>0</v>
      </c>
      <c r="L19" s="23">
        <f>'Sch TOU-PA Cust Fcst'!D18*'Non-Residential TSM UC Adj'!L19</f>
        <v>0</v>
      </c>
      <c r="M19" s="45">
        <f>IF(SUM(J19:L19)=0,0,SUM(J19:L19)/'Sch TOU-PA Cust Fcst'!D18)</f>
        <v>0</v>
      </c>
      <c r="N19" s="137">
        <f>'Sch TOU-PA Cust Fcst'!E18*'Non-Residential TSM UC Adj'!N19</f>
        <v>86844.457272944594</v>
      </c>
      <c r="O19" s="23">
        <f>'Sch TOU-PA Cust Fcst'!E18*'Non-Residential TSM UC Adj'!O19</f>
        <v>27169.664311471381</v>
      </c>
      <c r="P19" s="23">
        <f>'Sch TOU-PA Cust Fcst'!E18*'Non-Residential TSM UC Adj'!P19</f>
        <v>6059.7309520404588</v>
      </c>
      <c r="Q19" s="45">
        <f>IF(SUM(N19:P19)=0,0,SUM(N19:P19)/'Sch TOU-PA Cust Fcst'!E18)</f>
        <v>17153.407505208063</v>
      </c>
      <c r="R19" s="137">
        <f t="shared" si="0"/>
        <v>86844.457272944594</v>
      </c>
      <c r="S19" s="23">
        <f t="shared" si="0"/>
        <v>27169.664311471381</v>
      </c>
      <c r="T19" s="23">
        <f t="shared" si="0"/>
        <v>6059.7309520404588</v>
      </c>
      <c r="U19" s="45">
        <f>IF(SUM(R19:T19)=0,0,SUM(R19:T19)/'Sch PA-T-1 Cust Fcst'!F18)</f>
        <v>8576.7037526040313</v>
      </c>
      <c r="V19" s="37">
        <f>'Sch TOU-PA Cust Fcst'!G18*'Non-Residential TSM UC Adj'!R19</f>
        <v>0</v>
      </c>
      <c r="W19" s="23">
        <f>'Sch TOU-PA Cust Fcst'!G18*'Non-Residential TSM UC Adj'!S19</f>
        <v>3129.9273129422195</v>
      </c>
      <c r="X19" s="23">
        <f>'Sch TOU-PA Cust Fcst'!G18*'Non-Residential TSM UC Adj'!T19</f>
        <v>967.82163835260417</v>
      </c>
      <c r="Y19" s="45">
        <f>IF(SUM(V19:X19)=0,0,SUM(V19:X19)/'Sch TOU-PA Cust Fcst'!G18)</f>
        <v>4097.7489512948232</v>
      </c>
      <c r="Z19" s="23">
        <f t="shared" si="1"/>
        <v>86844.457272944594</v>
      </c>
      <c r="AA19" s="23">
        <f t="shared" si="1"/>
        <v>30299.591624413599</v>
      </c>
      <c r="AB19" s="23">
        <f t="shared" si="1"/>
        <v>7027.5525903930629</v>
      </c>
      <c r="AC19" s="45">
        <f>IF(SUM(Z19:AB19)=0,0,SUM(Z19:AB19)/'Sch PA-T-1 Cust Fcst'!H18)</f>
        <v>8278.1067658500851</v>
      </c>
    </row>
    <row r="20" spans="1:29">
      <c r="A20" s="155" t="s">
        <v>122</v>
      </c>
      <c r="B20" s="137">
        <f>'Sch TOU-PA Cust Fcst'!B19*'Non-Residential TSM UC Adj'!J20</f>
        <v>0</v>
      </c>
      <c r="C20" s="23">
        <f>'Sch TOU-PA Cust Fcst'!B19*'Non-Residential TSM UC Adj'!K20</f>
        <v>0</v>
      </c>
      <c r="D20" s="23">
        <f>'Sch TOU-PA Cust Fcst'!B19*'Non-Residential TSM UC Adj'!L20</f>
        <v>0</v>
      </c>
      <c r="E20" s="45">
        <f>IF(SUM(B20:D20)=0,0,SUM(B20:D20)/'Sch TOU-PA Cust Fcst'!B19)</f>
        <v>0</v>
      </c>
      <c r="F20" s="137">
        <f>'Sch TOU-PA Cust Fcst'!C19*'Non-Residential TSM UC Adj'!J20</f>
        <v>0</v>
      </c>
      <c r="G20" s="23">
        <f>'Sch TOU-PA Cust Fcst'!C19*'Non-Residential TSM UC Adj'!K20</f>
        <v>0</v>
      </c>
      <c r="H20" s="23">
        <f>'Sch TOU-PA Cust Fcst'!C19*'Non-Residential TSM UC Adj'!L20</f>
        <v>0</v>
      </c>
      <c r="I20" s="45">
        <f>IF(SUM(F20:H20)=0,0,SUM(F20:H20)/'Sch TOU-PA Cust Fcst'!C19)</f>
        <v>0</v>
      </c>
      <c r="J20" s="137">
        <f>'Sch TOU-PA Cust Fcst'!D19*'Non-Residential TSM UC Adj'!J20</f>
        <v>0</v>
      </c>
      <c r="K20" s="23">
        <f>'Sch TOU-PA Cust Fcst'!D19*'Non-Residential TSM UC Adj'!K20</f>
        <v>0</v>
      </c>
      <c r="L20" s="23">
        <f>'Sch TOU-PA Cust Fcst'!D19*'Non-Residential TSM UC Adj'!L20</f>
        <v>0</v>
      </c>
      <c r="M20" s="45">
        <f>IF(SUM(J20:L20)=0,0,SUM(J20:L20)/'Sch TOU-PA Cust Fcst'!D19)</f>
        <v>0</v>
      </c>
      <c r="N20" s="137">
        <f>'Sch TOU-PA Cust Fcst'!E19*'Non-Residential TSM UC Adj'!N20</f>
        <v>42505.371858509359</v>
      </c>
      <c r="O20" s="23">
        <f>'Sch TOU-PA Cust Fcst'!E19*'Non-Residential TSM UC Adj'!O20</f>
        <v>11644.141847773448</v>
      </c>
      <c r="P20" s="23">
        <f>'Sch TOU-PA Cust Fcst'!E19*'Non-Residential TSM UC Adj'!P20</f>
        <v>2597.0275508744826</v>
      </c>
      <c r="Q20" s="45">
        <f>IF(SUM(N20:P20)=0,0,SUM(N20:P20)/'Sch TOU-PA Cust Fcst'!E19)</f>
        <v>18915.513752385763</v>
      </c>
      <c r="R20" s="137">
        <f t="shared" si="0"/>
        <v>42505.371858509359</v>
      </c>
      <c r="S20" s="23">
        <f t="shared" si="0"/>
        <v>11644.141847773448</v>
      </c>
      <c r="T20" s="23">
        <f t="shared" si="0"/>
        <v>2597.0275508744826</v>
      </c>
      <c r="U20" s="45">
        <f>IF(SUM(R20:T20)=0,0,SUM(R20:T20)/'Sch PA-T-1 Cust Fcst'!F19)</f>
        <v>8106.6487510224697</v>
      </c>
      <c r="V20" s="37">
        <f>'Sch TOU-PA Cust Fcst'!G19*'Non-Residential TSM UC Adj'!R20</f>
        <v>0</v>
      </c>
      <c r="W20" s="23">
        <f>'Sch TOU-PA Cust Fcst'!G19*'Non-Residential TSM UC Adj'!S20</f>
        <v>0</v>
      </c>
      <c r="X20" s="23">
        <f>'Sch TOU-PA Cust Fcst'!G19*'Non-Residential TSM UC Adj'!T20</f>
        <v>0</v>
      </c>
      <c r="Y20" s="45">
        <f>IF(SUM(V20:X20)=0,0,SUM(V20:X20)/'Sch TOU-PA Cust Fcst'!G19)</f>
        <v>0</v>
      </c>
      <c r="Z20" s="23">
        <f t="shared" si="1"/>
        <v>42505.371858509359</v>
      </c>
      <c r="AA20" s="23">
        <f t="shared" si="1"/>
        <v>11644.141847773448</v>
      </c>
      <c r="AB20" s="23">
        <f t="shared" si="1"/>
        <v>2597.0275508744826</v>
      </c>
      <c r="AC20" s="45">
        <f>IF(SUM(Z20:AB20)=0,0,SUM(Z20:AB20)/'Sch PA-T-1 Cust Fcst'!H19)</f>
        <v>7093.3176571446611</v>
      </c>
    </row>
    <row r="21" spans="1:29">
      <c r="A21" s="155" t="s">
        <v>123</v>
      </c>
      <c r="B21" s="137">
        <f>'Sch TOU-PA Cust Fcst'!B20*'Non-Residential TSM UC Adj'!J21</f>
        <v>0</v>
      </c>
      <c r="C21" s="23">
        <f>'Sch TOU-PA Cust Fcst'!B20*'Non-Residential TSM UC Adj'!K21</f>
        <v>0</v>
      </c>
      <c r="D21" s="23">
        <f>'Sch TOU-PA Cust Fcst'!B20*'Non-Residential TSM UC Adj'!L21</f>
        <v>0</v>
      </c>
      <c r="E21" s="45">
        <f>IF(SUM(B21:D21)=0,0,SUM(B21:D21)/'Sch TOU-PA Cust Fcst'!B20)</f>
        <v>0</v>
      </c>
      <c r="F21" s="137">
        <f>'Sch TOU-PA Cust Fcst'!C20*'Non-Residential TSM UC Adj'!J21</f>
        <v>0</v>
      </c>
      <c r="G21" s="23">
        <f>'Sch TOU-PA Cust Fcst'!C20*'Non-Residential TSM UC Adj'!K21</f>
        <v>0</v>
      </c>
      <c r="H21" s="23">
        <f>'Sch TOU-PA Cust Fcst'!C20*'Non-Residential TSM UC Adj'!L21</f>
        <v>0</v>
      </c>
      <c r="I21" s="45">
        <f>IF(SUM(F21:H21)=0,0,SUM(F21:H21)/'Sch TOU-PA Cust Fcst'!C20)</f>
        <v>0</v>
      </c>
      <c r="J21" s="137">
        <f>'Sch TOU-PA Cust Fcst'!D20*'Non-Residential TSM UC Adj'!J21</f>
        <v>0</v>
      </c>
      <c r="K21" s="23">
        <f>'Sch TOU-PA Cust Fcst'!D20*'Non-Residential TSM UC Adj'!K21</f>
        <v>0</v>
      </c>
      <c r="L21" s="23">
        <f>'Sch TOU-PA Cust Fcst'!D20*'Non-Residential TSM UC Adj'!L21</f>
        <v>0</v>
      </c>
      <c r="M21" s="45">
        <f>IF(SUM(J21:L21)=0,0,SUM(J21:L21)/'Sch TOU-PA Cust Fcst'!D20)</f>
        <v>0</v>
      </c>
      <c r="N21" s="137">
        <f>'Sch TOU-PA Cust Fcst'!E20*'Non-Residential TSM UC Adj'!N21</f>
        <v>28336.91457233957</v>
      </c>
      <c r="O21" s="23">
        <f>'Sch TOU-PA Cust Fcst'!E20*'Non-Residential TSM UC Adj'!O21</f>
        <v>7762.7612318489655</v>
      </c>
      <c r="P21" s="23">
        <f>'Sch TOU-PA Cust Fcst'!E20*'Non-Residential TSM UC Adj'!P21</f>
        <v>1731.3517005829883</v>
      </c>
      <c r="Q21" s="45">
        <f>IF(SUM(N21:P21)=0,0,SUM(N21:P21)/'Sch TOU-PA Cust Fcst'!E20)</f>
        <v>18915.513752385759</v>
      </c>
      <c r="R21" s="137">
        <f t="shared" si="0"/>
        <v>28336.91457233957</v>
      </c>
      <c r="S21" s="23">
        <f t="shared" si="0"/>
        <v>7762.7612318489655</v>
      </c>
      <c r="T21" s="23">
        <f t="shared" si="0"/>
        <v>1731.3517005829883</v>
      </c>
      <c r="U21" s="45">
        <f>IF(SUM(R21:T21)=0,0,SUM(R21:T21)/'Sch PA-T-1 Cust Fcst'!F20)</f>
        <v>9457.7568761928796</v>
      </c>
      <c r="V21" s="37">
        <f>'Sch TOU-PA Cust Fcst'!G20*'Non-Residential TSM UC Adj'!R21</f>
        <v>0</v>
      </c>
      <c r="W21" s="23">
        <f>'Sch TOU-PA Cust Fcst'!G20*'Non-Residential TSM UC Adj'!S21</f>
        <v>3129.9273129422195</v>
      </c>
      <c r="X21" s="23">
        <f>'Sch TOU-PA Cust Fcst'!G20*'Non-Residential TSM UC Adj'!T21</f>
        <v>967.82163835260417</v>
      </c>
      <c r="Y21" s="45">
        <f>IF(SUM(V21:X21)=0,0,SUM(V21:X21)/'Sch TOU-PA Cust Fcst'!G20)</f>
        <v>4097.7489512948232</v>
      </c>
      <c r="Z21" s="23">
        <f t="shared" si="1"/>
        <v>28336.91457233957</v>
      </c>
      <c r="AA21" s="23">
        <f t="shared" si="1"/>
        <v>10892.688544791185</v>
      </c>
      <c r="AB21" s="23">
        <f t="shared" si="1"/>
        <v>2699.1733389355923</v>
      </c>
      <c r="AC21" s="45">
        <f>IF(SUM(Z21:AB21)=0,0,SUM(Z21:AB21)/'Sch PA-T-1 Cust Fcst'!H20)</f>
        <v>10482.194114016587</v>
      </c>
    </row>
    <row r="22" spans="1:29">
      <c r="A22" s="153" t="s">
        <v>14</v>
      </c>
      <c r="B22" s="137">
        <f>'Sch TOU-PA Cust Fcst'!B21*'Non-Residential TSM UC Adj'!J22</f>
        <v>0</v>
      </c>
      <c r="C22" s="23">
        <f>'Sch TOU-PA Cust Fcst'!B21*'Non-Residential TSM UC Adj'!K22</f>
        <v>0</v>
      </c>
      <c r="D22" s="23">
        <f>'Sch TOU-PA Cust Fcst'!B21*'Non-Residential TSM UC Adj'!L22</f>
        <v>0</v>
      </c>
      <c r="E22" s="45">
        <f>IF(SUM(B22:D22)=0,0,SUM(B22:D22)/'Sch TOU-PA Cust Fcst'!B21)</f>
        <v>0</v>
      </c>
      <c r="F22" s="137">
        <f>'Sch TOU-PA Cust Fcst'!C21*'Non-Residential TSM UC Adj'!J22</f>
        <v>0</v>
      </c>
      <c r="G22" s="23">
        <f>'Sch TOU-PA Cust Fcst'!C21*'Non-Residential TSM UC Adj'!K22</f>
        <v>0</v>
      </c>
      <c r="H22" s="23">
        <f>'Sch TOU-PA Cust Fcst'!C21*'Non-Residential TSM UC Adj'!L22</f>
        <v>0</v>
      </c>
      <c r="I22" s="45">
        <f>IF(SUM(F22:H22)=0,0,SUM(F22:H22)/'Sch TOU-PA Cust Fcst'!C21)</f>
        <v>0</v>
      </c>
      <c r="J22" s="137">
        <f>'Sch TOU-PA Cust Fcst'!D21*'Non-Residential TSM UC Adj'!J22</f>
        <v>0</v>
      </c>
      <c r="K22" s="23">
        <f>'Sch TOU-PA Cust Fcst'!D21*'Non-Residential TSM UC Adj'!K22</f>
        <v>0</v>
      </c>
      <c r="L22" s="23">
        <f>'Sch TOU-PA Cust Fcst'!D21*'Non-Residential TSM UC Adj'!L22</f>
        <v>0</v>
      </c>
      <c r="M22" s="45">
        <f>IF(SUM(J22:L22)=0,0,SUM(J22:L22)/'Sch TOU-PA Cust Fcst'!D21)</f>
        <v>0</v>
      </c>
      <c r="N22" s="137">
        <f>'Sch TOU-PA Cust Fcst'!E21*'Non-Residential TSM UC Adj'!N22</f>
        <v>28336.91457233957</v>
      </c>
      <c r="O22" s="23">
        <f>'Sch TOU-PA Cust Fcst'!E21*'Non-Residential TSM UC Adj'!O22</f>
        <v>6332.3820101775018</v>
      </c>
      <c r="P22" s="23">
        <f>'Sch TOU-PA Cust Fcst'!E21*'Non-Residential TSM UC Adj'!P22</f>
        <v>865.67585029149416</v>
      </c>
      <c r="Q22" s="45">
        <f>IF(SUM(N22:P22)=0,0,SUM(N22:P22)/'Sch TOU-PA Cust Fcst'!E21)</f>
        <v>35534.972432808565</v>
      </c>
      <c r="R22" s="137">
        <f t="shared" si="0"/>
        <v>28336.91457233957</v>
      </c>
      <c r="S22" s="23">
        <f t="shared" si="0"/>
        <v>6332.3820101775018</v>
      </c>
      <c r="T22" s="23">
        <f t="shared" si="0"/>
        <v>865.67585029149416</v>
      </c>
      <c r="U22" s="45">
        <f>IF(SUM(R22:T22)=0,0,SUM(R22:T22)/'Sch PA-T-1 Cust Fcst'!F21)</f>
        <v>3948.3302703120626</v>
      </c>
      <c r="V22" s="37">
        <f>'Sch TOU-PA Cust Fcst'!G21*'Non-Residential TSM UC Adj'!R22</f>
        <v>0</v>
      </c>
      <c r="W22" s="23">
        <f>'Sch TOU-PA Cust Fcst'!G21*'Non-Residential TSM UC Adj'!S22</f>
        <v>0</v>
      </c>
      <c r="X22" s="23">
        <f>'Sch TOU-PA Cust Fcst'!G21*'Non-Residential TSM UC Adj'!T22</f>
        <v>0</v>
      </c>
      <c r="Y22" s="45">
        <f>IF(SUM(V22:X22)=0,0,SUM(V22:X22)/'Sch TOU-PA Cust Fcst'!G21)</f>
        <v>0</v>
      </c>
      <c r="Z22" s="23">
        <f t="shared" si="1"/>
        <v>28336.91457233957</v>
      </c>
      <c r="AA22" s="23">
        <f t="shared" si="1"/>
        <v>6332.3820101775018</v>
      </c>
      <c r="AB22" s="23">
        <f t="shared" si="1"/>
        <v>865.67585029149416</v>
      </c>
      <c r="AC22" s="45">
        <f>IF(SUM(Z22:AB22)=0,0,SUM(Z22:AB22)/'Sch PA-T-1 Cust Fcst'!H21)</f>
        <v>2733.459417908351</v>
      </c>
    </row>
    <row r="23" spans="1:29">
      <c r="A23" s="155" t="s">
        <v>15</v>
      </c>
      <c r="B23" s="137">
        <f>'Sch TOU-PA Cust Fcst'!B22*'Non-Residential TSM UC Adj'!J23</f>
        <v>0</v>
      </c>
      <c r="C23" s="23">
        <f>'Sch TOU-PA Cust Fcst'!B22*'Non-Residential TSM UC Adj'!K23</f>
        <v>0</v>
      </c>
      <c r="D23" s="23">
        <f>'Sch TOU-PA Cust Fcst'!B22*'Non-Residential TSM UC Adj'!L23</f>
        <v>0</v>
      </c>
      <c r="E23" s="45">
        <f>IF(SUM(B23:D23)=0,0,SUM(B23:D23)/'Sch TOU-PA Cust Fcst'!B22)</f>
        <v>0</v>
      </c>
      <c r="F23" s="137">
        <f>'Sch TOU-PA Cust Fcst'!C22*'Non-Residential TSM UC Adj'!J23</f>
        <v>0</v>
      </c>
      <c r="G23" s="23">
        <f>'Sch TOU-PA Cust Fcst'!C22*'Non-Residential TSM UC Adj'!K23</f>
        <v>0</v>
      </c>
      <c r="H23" s="23">
        <f>'Sch TOU-PA Cust Fcst'!C22*'Non-Residential TSM UC Adj'!L23</f>
        <v>0</v>
      </c>
      <c r="I23" s="45">
        <f>IF(SUM(F23:H23)=0,0,SUM(F23:H23)/'Sch TOU-PA Cust Fcst'!C22)</f>
        <v>0</v>
      </c>
      <c r="J23" s="137">
        <f>'Sch TOU-PA Cust Fcst'!D22*'Non-Residential TSM UC Adj'!J23</f>
        <v>0</v>
      </c>
      <c r="K23" s="23">
        <f>'Sch TOU-PA Cust Fcst'!D22*'Non-Residential TSM UC Adj'!K23</f>
        <v>0</v>
      </c>
      <c r="L23" s="23">
        <f>'Sch TOU-PA Cust Fcst'!D22*'Non-Residential TSM UC Adj'!L23</f>
        <v>0</v>
      </c>
      <c r="M23" s="45">
        <f>IF(SUM(J23:L23)=0,0,SUM(J23:L23)/'Sch TOU-PA Cust Fcst'!D22)</f>
        <v>0</v>
      </c>
      <c r="N23" s="137">
        <f>'Sch TOU-PA Cust Fcst'!E22*'Non-Residential TSM UC Adj'!N23</f>
        <v>0</v>
      </c>
      <c r="O23" s="23">
        <f>'Sch TOU-PA Cust Fcst'!E22*'Non-Residential TSM UC Adj'!O23</f>
        <v>0</v>
      </c>
      <c r="P23" s="23">
        <f>'Sch TOU-PA Cust Fcst'!E22*'Non-Residential TSM UC Adj'!P23</f>
        <v>0</v>
      </c>
      <c r="Q23" s="45">
        <f>IF(SUM(N23:P23)=0,0,SUM(N23:P23)/'Sch TOU-PA Cust Fcst'!E22)</f>
        <v>0</v>
      </c>
      <c r="R23" s="137">
        <f t="shared" si="0"/>
        <v>0</v>
      </c>
      <c r="S23" s="23">
        <f t="shared" si="0"/>
        <v>0</v>
      </c>
      <c r="T23" s="23">
        <f t="shared" si="0"/>
        <v>0</v>
      </c>
      <c r="U23" s="45">
        <f>IF(SUM(R23:T23)=0,0,SUM(R23:T23)/'Sch PA-T-1 Cust Fcst'!F22)</f>
        <v>0</v>
      </c>
      <c r="V23" s="37">
        <f>'Sch TOU-PA Cust Fcst'!G22*'Non-Residential TSM UC Adj'!R23</f>
        <v>0</v>
      </c>
      <c r="W23" s="23">
        <f>'Sch TOU-PA Cust Fcst'!G22*'Non-Residential TSM UC Adj'!S23</f>
        <v>0</v>
      </c>
      <c r="X23" s="23">
        <f>'Sch TOU-PA Cust Fcst'!G22*'Non-Residential TSM UC Adj'!T23</f>
        <v>0</v>
      </c>
      <c r="Y23" s="45">
        <f>IF(SUM(V23:X23)=0,0,SUM(V23:X23)/'Sch TOU-PA Cust Fcst'!G22)</f>
        <v>0</v>
      </c>
      <c r="Z23" s="23">
        <f t="shared" si="1"/>
        <v>0</v>
      </c>
      <c r="AA23" s="23">
        <f t="shared" si="1"/>
        <v>0</v>
      </c>
      <c r="AB23" s="23">
        <f t="shared" si="1"/>
        <v>0</v>
      </c>
      <c r="AC23" s="45">
        <f>IF(SUM(Z23:AB23)=0,0,SUM(Z23:AB23)/'Sch PA-T-1 Cust Fcst'!H22)</f>
        <v>0</v>
      </c>
    </row>
    <row r="24" spans="1:29">
      <c r="A24" s="155" t="s">
        <v>16</v>
      </c>
      <c r="B24" s="137">
        <f>'Sch TOU-PA Cust Fcst'!B23*'Non-Residential TSM UC Adj'!J24</f>
        <v>0</v>
      </c>
      <c r="C24" s="23">
        <f>'Sch TOU-PA Cust Fcst'!B23*'Non-Residential TSM UC Adj'!K24</f>
        <v>0</v>
      </c>
      <c r="D24" s="23">
        <f>'Sch TOU-PA Cust Fcst'!B23*'Non-Residential TSM UC Adj'!L24</f>
        <v>0</v>
      </c>
      <c r="E24" s="45">
        <f>IF(SUM(B24:D24)=0,0,SUM(B24:D24)/'Sch TOU-PA Cust Fcst'!B23)</f>
        <v>0</v>
      </c>
      <c r="F24" s="137">
        <f>'Sch TOU-PA Cust Fcst'!C23*'Non-Residential TSM UC Adj'!J24</f>
        <v>0</v>
      </c>
      <c r="G24" s="23">
        <f>'Sch TOU-PA Cust Fcst'!C23*'Non-Residential TSM UC Adj'!K24</f>
        <v>0</v>
      </c>
      <c r="H24" s="23">
        <f>'Sch TOU-PA Cust Fcst'!C23*'Non-Residential TSM UC Adj'!L24</f>
        <v>0</v>
      </c>
      <c r="I24" s="45">
        <f>IF(SUM(F24:H24)=0,0,SUM(F24:H24)/'Sch TOU-PA Cust Fcst'!C23)</f>
        <v>0</v>
      </c>
      <c r="J24" s="137">
        <f>'Sch TOU-PA Cust Fcst'!D23*'Non-Residential TSM UC Adj'!J24</f>
        <v>0</v>
      </c>
      <c r="K24" s="23">
        <f>'Sch TOU-PA Cust Fcst'!D23*'Non-Residential TSM UC Adj'!K24</f>
        <v>0</v>
      </c>
      <c r="L24" s="23">
        <f>'Sch TOU-PA Cust Fcst'!D23*'Non-Residential TSM UC Adj'!L24</f>
        <v>0</v>
      </c>
      <c r="M24" s="45">
        <f>IF(SUM(J24:L24)=0,0,SUM(J24:L24)/'Sch TOU-PA Cust Fcst'!D23)</f>
        <v>0</v>
      </c>
      <c r="N24" s="137">
        <f>'Sch TOU-PA Cust Fcst'!E23*'Non-Residential TSM UC Adj'!N24</f>
        <v>0</v>
      </c>
      <c r="O24" s="23">
        <f>'Sch TOU-PA Cust Fcst'!E23*'Non-Residential TSM UC Adj'!O24</f>
        <v>0</v>
      </c>
      <c r="P24" s="23">
        <f>'Sch TOU-PA Cust Fcst'!E23*'Non-Residential TSM UC Adj'!P24</f>
        <v>0</v>
      </c>
      <c r="Q24" s="45">
        <f>IF(SUM(N24:P24)=0,0,SUM(N24:P24)/'Sch TOU-PA Cust Fcst'!E23)</f>
        <v>0</v>
      </c>
      <c r="R24" s="137">
        <f t="shared" si="0"/>
        <v>0</v>
      </c>
      <c r="S24" s="23">
        <f t="shared" si="0"/>
        <v>0</v>
      </c>
      <c r="T24" s="23">
        <f t="shared" si="0"/>
        <v>0</v>
      </c>
      <c r="U24" s="45">
        <f>IF(SUM(R24:T24)=0,0,SUM(R24:T24)/'Sch PA-T-1 Cust Fcst'!F23)</f>
        <v>0</v>
      </c>
      <c r="V24" s="37">
        <f>'Sch TOU-PA Cust Fcst'!G23*'Non-Residential TSM UC Adj'!R24</f>
        <v>0</v>
      </c>
      <c r="W24" s="23">
        <f>'Sch TOU-PA Cust Fcst'!G23*'Non-Residential TSM UC Adj'!S24</f>
        <v>0</v>
      </c>
      <c r="X24" s="23">
        <f>'Sch TOU-PA Cust Fcst'!G23*'Non-Residential TSM UC Adj'!T24</f>
        <v>0</v>
      </c>
      <c r="Y24" s="45">
        <f>IF(SUM(V24:X24)=0,0,SUM(V24:X24)/'Sch TOU-PA Cust Fcst'!G23)</f>
        <v>0</v>
      </c>
      <c r="Z24" s="23">
        <f t="shared" si="1"/>
        <v>0</v>
      </c>
      <c r="AA24" s="23">
        <f t="shared" si="1"/>
        <v>0</v>
      </c>
      <c r="AB24" s="23">
        <f t="shared" si="1"/>
        <v>0</v>
      </c>
      <c r="AC24" s="45">
        <f>IF(SUM(Z24:AB24)=0,0,SUM(Z24:AB24)/'Sch PA-T-1 Cust Fcst'!H23)</f>
        <v>0</v>
      </c>
    </row>
    <row r="25" spans="1:29">
      <c r="A25" s="155" t="s">
        <v>17</v>
      </c>
      <c r="B25" s="137">
        <f>'Sch TOU-PA Cust Fcst'!B24*'Non-Residential TSM UC Adj'!J25</f>
        <v>0</v>
      </c>
      <c r="C25" s="23">
        <f>'Sch TOU-PA Cust Fcst'!B24*'Non-Residential TSM UC Adj'!K25</f>
        <v>0</v>
      </c>
      <c r="D25" s="23">
        <f>'Sch TOU-PA Cust Fcst'!B24*'Non-Residential TSM UC Adj'!L25</f>
        <v>0</v>
      </c>
      <c r="E25" s="45">
        <f>IF(SUM(B25:D25)=0,0,SUM(B25:D25)/'Sch TOU-PA Cust Fcst'!B24)</f>
        <v>0</v>
      </c>
      <c r="F25" s="137">
        <f>'Sch TOU-PA Cust Fcst'!C24*'Non-Residential TSM UC Adj'!J25</f>
        <v>0</v>
      </c>
      <c r="G25" s="23">
        <f>'Sch TOU-PA Cust Fcst'!C24*'Non-Residential TSM UC Adj'!K25</f>
        <v>0</v>
      </c>
      <c r="H25" s="23">
        <f>'Sch TOU-PA Cust Fcst'!C24*'Non-Residential TSM UC Adj'!L25</f>
        <v>0</v>
      </c>
      <c r="I25" s="45">
        <f>IF(SUM(F25:H25)=0,0,SUM(F25:H25)/'Sch TOU-PA Cust Fcst'!C24)</f>
        <v>0</v>
      </c>
      <c r="J25" s="137">
        <f>'Sch TOU-PA Cust Fcst'!D24*'Non-Residential TSM UC Adj'!J25</f>
        <v>0</v>
      </c>
      <c r="K25" s="23">
        <f>'Sch TOU-PA Cust Fcst'!D24*'Non-Residential TSM UC Adj'!K25</f>
        <v>0</v>
      </c>
      <c r="L25" s="23">
        <f>'Sch TOU-PA Cust Fcst'!D24*'Non-Residential TSM UC Adj'!L25</f>
        <v>0</v>
      </c>
      <c r="M25" s="45">
        <f>IF(SUM(J25:L25)=0,0,SUM(J25:L25)/'Sch TOU-PA Cust Fcst'!D24)</f>
        <v>0</v>
      </c>
      <c r="N25" s="137">
        <f>'Sch TOU-PA Cust Fcst'!E24*'Non-Residential TSM UC Adj'!N25</f>
        <v>0</v>
      </c>
      <c r="O25" s="23">
        <f>'Sch TOU-PA Cust Fcst'!E24*'Non-Residential TSM UC Adj'!O25</f>
        <v>0</v>
      </c>
      <c r="P25" s="23">
        <f>'Sch TOU-PA Cust Fcst'!E24*'Non-Residential TSM UC Adj'!P25</f>
        <v>0</v>
      </c>
      <c r="Q25" s="45">
        <f>IF(SUM(N25:P25)=0,0,SUM(N25:P25)/'Sch TOU-PA Cust Fcst'!E24)</f>
        <v>0</v>
      </c>
      <c r="R25" s="137">
        <f t="shared" si="0"/>
        <v>0</v>
      </c>
      <c r="S25" s="23">
        <f t="shared" si="0"/>
        <v>0</v>
      </c>
      <c r="T25" s="23">
        <f t="shared" si="0"/>
        <v>0</v>
      </c>
      <c r="U25" s="45">
        <f>IF(SUM(R25:T25)=0,0,SUM(R25:T25)/'Sch PA-T-1 Cust Fcst'!F24)</f>
        <v>0</v>
      </c>
      <c r="V25" s="37">
        <f>'Sch TOU-PA Cust Fcst'!G24*'Non-Residential TSM UC Adj'!R25</f>
        <v>0</v>
      </c>
      <c r="W25" s="23">
        <f>'Sch TOU-PA Cust Fcst'!G24*'Non-Residential TSM UC Adj'!S25</f>
        <v>0</v>
      </c>
      <c r="X25" s="23">
        <f>'Sch TOU-PA Cust Fcst'!G24*'Non-Residential TSM UC Adj'!T25</f>
        <v>0</v>
      </c>
      <c r="Y25" s="45">
        <f>IF(SUM(V25:X25)=0,0,SUM(V25:X25)/'Sch TOU-PA Cust Fcst'!G24)</f>
        <v>0</v>
      </c>
      <c r="Z25" s="23">
        <f t="shared" si="1"/>
        <v>0</v>
      </c>
      <c r="AA25" s="23">
        <f t="shared" si="1"/>
        <v>0</v>
      </c>
      <c r="AB25" s="23">
        <f t="shared" si="1"/>
        <v>0</v>
      </c>
      <c r="AC25" s="45">
        <f>IF(SUM(Z25:AB25)=0,0,SUM(Z25:AB25)/'Sch PA-T-1 Cust Fcst'!H24)</f>
        <v>0</v>
      </c>
    </row>
    <row r="26" spans="1:29">
      <c r="A26" s="155" t="s">
        <v>18</v>
      </c>
      <c r="B26" s="137">
        <f>'Sch TOU-PA Cust Fcst'!B25*'Non-Residential TSM UC Adj'!J26</f>
        <v>0</v>
      </c>
      <c r="C26" s="23">
        <f>'Sch TOU-PA Cust Fcst'!B25*'Non-Residential TSM UC Adj'!K26</f>
        <v>0</v>
      </c>
      <c r="D26" s="23">
        <f>'Sch TOU-PA Cust Fcst'!B25*'Non-Residential TSM UC Adj'!L26</f>
        <v>0</v>
      </c>
      <c r="E26" s="45">
        <f>IF(SUM(B26:D26)=0,0,SUM(B26:D26)/'Sch TOU-PA Cust Fcst'!B25)</f>
        <v>0</v>
      </c>
      <c r="F26" s="137">
        <f>'Sch TOU-PA Cust Fcst'!C25*'Non-Residential TSM UC Adj'!J26</f>
        <v>0</v>
      </c>
      <c r="G26" s="23">
        <f>'Sch TOU-PA Cust Fcst'!C25*'Non-Residential TSM UC Adj'!K26</f>
        <v>0</v>
      </c>
      <c r="H26" s="23">
        <f>'Sch TOU-PA Cust Fcst'!C25*'Non-Residential TSM UC Adj'!L26</f>
        <v>0</v>
      </c>
      <c r="I26" s="45">
        <f>IF(SUM(F26:H26)=0,0,SUM(F26:H26)/'Sch TOU-PA Cust Fcst'!C25)</f>
        <v>0</v>
      </c>
      <c r="J26" s="137">
        <f>'Sch TOU-PA Cust Fcst'!D25*'Non-Residential TSM UC Adj'!J26</f>
        <v>0</v>
      </c>
      <c r="K26" s="23">
        <f>'Sch TOU-PA Cust Fcst'!D25*'Non-Residential TSM UC Adj'!K26</f>
        <v>0</v>
      </c>
      <c r="L26" s="23">
        <f>'Sch TOU-PA Cust Fcst'!D25*'Non-Residential TSM UC Adj'!L26</f>
        <v>0</v>
      </c>
      <c r="M26" s="45">
        <f>IF(SUM(J26:L26)=0,0,SUM(J26:L26)/'Sch TOU-PA Cust Fcst'!D25)</f>
        <v>0</v>
      </c>
      <c r="N26" s="137">
        <f>'Sch TOU-PA Cust Fcst'!E25*'Non-Residential TSM UC Adj'!N26</f>
        <v>39689.604854849094</v>
      </c>
      <c r="O26" s="23">
        <f>'Sch TOU-PA Cust Fcst'!E25*'Non-Residential TSM UC Adj'!O26</f>
        <v>12664.764020355004</v>
      </c>
      <c r="P26" s="23">
        <f>'Sch TOU-PA Cust Fcst'!E25*'Non-Residential TSM UC Adj'!P26</f>
        <v>865.67585029149416</v>
      </c>
      <c r="Q26" s="45">
        <f>IF(SUM(N26:P26)=0,0,SUM(N26:P26)/'Sch TOU-PA Cust Fcst'!E25)</f>
        <v>53220.044725495594</v>
      </c>
      <c r="R26" s="137">
        <f t="shared" si="0"/>
        <v>39689.604854849094</v>
      </c>
      <c r="S26" s="23">
        <f t="shared" si="0"/>
        <v>12664.764020355004</v>
      </c>
      <c r="T26" s="23">
        <f t="shared" si="0"/>
        <v>865.67585029149416</v>
      </c>
      <c r="U26" s="45">
        <f>IF(SUM(R26:T26)=0,0,SUM(R26:T26)/'Sch PA-T-1 Cust Fcst'!F25)</f>
        <v>26610.022362747797</v>
      </c>
      <c r="V26" s="37">
        <f>'Sch TOU-PA Cust Fcst'!G25*'Non-Residential TSM UC Adj'!R26</f>
        <v>0</v>
      </c>
      <c r="W26" s="23">
        <f>'Sch TOU-PA Cust Fcst'!G25*'Non-Residential TSM UC Adj'!S26</f>
        <v>3129.9273129422195</v>
      </c>
      <c r="X26" s="23">
        <f>'Sch TOU-PA Cust Fcst'!G25*'Non-Residential TSM UC Adj'!T26</f>
        <v>967.82163835260417</v>
      </c>
      <c r="Y26" s="45">
        <f>IF(SUM(V26:X26)=0,0,SUM(V26:X26)/'Sch TOU-PA Cust Fcst'!G25)</f>
        <v>4097.7489512948232</v>
      </c>
      <c r="Z26" s="23">
        <f t="shared" si="1"/>
        <v>39689.604854849094</v>
      </c>
      <c r="AA26" s="23">
        <f t="shared" si="1"/>
        <v>15794.691333297224</v>
      </c>
      <c r="AB26" s="23">
        <f t="shared" si="1"/>
        <v>1833.4974886440982</v>
      </c>
      <c r="AC26" s="45">
        <f>IF(SUM(Z26:AB26)=0,0,SUM(Z26:AB26)/'Sch PA-T-1 Cust Fcst'!H25)</f>
        <v>28658.896838395209</v>
      </c>
    </row>
    <row r="27" spans="1:29">
      <c r="A27" s="155" t="s">
        <v>19</v>
      </c>
      <c r="B27" s="137">
        <f>'Sch TOU-PA Cust Fcst'!B26*'Non-Residential TSM UC Adj'!J27</f>
        <v>0</v>
      </c>
      <c r="C27" s="23">
        <f>'Sch TOU-PA Cust Fcst'!B26*'Non-Residential TSM UC Adj'!K27</f>
        <v>0</v>
      </c>
      <c r="D27" s="23">
        <f>'Sch TOU-PA Cust Fcst'!B26*'Non-Residential TSM UC Adj'!L27</f>
        <v>0</v>
      </c>
      <c r="E27" s="45">
        <f>IF(SUM(B27:D27)=0,0,SUM(B27:D27)/'Sch TOU-PA Cust Fcst'!B26)</f>
        <v>0</v>
      </c>
      <c r="F27" s="137">
        <f>'Sch TOU-PA Cust Fcst'!C26*'Non-Residential TSM UC Adj'!J27</f>
        <v>0</v>
      </c>
      <c r="G27" s="23">
        <f>'Sch TOU-PA Cust Fcst'!C26*'Non-Residential TSM UC Adj'!K27</f>
        <v>0</v>
      </c>
      <c r="H27" s="23">
        <f>'Sch TOU-PA Cust Fcst'!C26*'Non-Residential TSM UC Adj'!L27</f>
        <v>0</v>
      </c>
      <c r="I27" s="45">
        <f>IF(SUM(F27:H27)=0,0,SUM(F27:H27)/'Sch TOU-PA Cust Fcst'!C26)</f>
        <v>0</v>
      </c>
      <c r="J27" s="137">
        <f>'Sch TOU-PA Cust Fcst'!D26*'Non-Residential TSM UC Adj'!J27</f>
        <v>0</v>
      </c>
      <c r="K27" s="23">
        <f>'Sch TOU-PA Cust Fcst'!D26*'Non-Residential TSM UC Adj'!K27</f>
        <v>0</v>
      </c>
      <c r="L27" s="23">
        <f>'Sch TOU-PA Cust Fcst'!D26*'Non-Residential TSM UC Adj'!L27</f>
        <v>0</v>
      </c>
      <c r="M27" s="45">
        <f>IF(SUM(J27:L27)=0,0,SUM(J27:L27)/'Sch TOU-PA Cust Fcst'!D26)</f>
        <v>0</v>
      </c>
      <c r="N27" s="137">
        <f>'Sch TOU-PA Cust Fcst'!E26*'Non-Residential TSM UC Adj'!N27</f>
        <v>0</v>
      </c>
      <c r="O27" s="23">
        <f>'Sch TOU-PA Cust Fcst'!E26*'Non-Residential TSM UC Adj'!O27</f>
        <v>0</v>
      </c>
      <c r="P27" s="23">
        <f>'Sch TOU-PA Cust Fcst'!E26*'Non-Residential TSM UC Adj'!P27</f>
        <v>0</v>
      </c>
      <c r="Q27" s="45">
        <f>IF(SUM(N27:P27)=0,0,SUM(N27:P27)/'Sch TOU-PA Cust Fcst'!E26)</f>
        <v>0</v>
      </c>
      <c r="R27" s="137">
        <f t="shared" si="0"/>
        <v>0</v>
      </c>
      <c r="S27" s="23">
        <f t="shared" si="0"/>
        <v>0</v>
      </c>
      <c r="T27" s="23">
        <f t="shared" si="0"/>
        <v>0</v>
      </c>
      <c r="U27" s="45">
        <f>IF(SUM(R27:T27)=0,0,SUM(R27:T27)/'Sch PA-T-1 Cust Fcst'!F26)</f>
        <v>0</v>
      </c>
      <c r="V27" s="37">
        <f>'Sch TOU-PA Cust Fcst'!G26*'Non-Residential TSM UC Adj'!R27</f>
        <v>0</v>
      </c>
      <c r="W27" s="23">
        <f>'Sch TOU-PA Cust Fcst'!G26*'Non-Residential TSM UC Adj'!S27</f>
        <v>0</v>
      </c>
      <c r="X27" s="23">
        <f>'Sch TOU-PA Cust Fcst'!G26*'Non-Residential TSM UC Adj'!T27</f>
        <v>0</v>
      </c>
      <c r="Y27" s="45">
        <f>IF(SUM(V27:X27)=0,0,SUM(V27:X27)/'Sch TOU-PA Cust Fcst'!G26)</f>
        <v>0</v>
      </c>
      <c r="Z27" s="23">
        <f t="shared" si="1"/>
        <v>0</v>
      </c>
      <c r="AA27" s="23">
        <f t="shared" si="1"/>
        <v>0</v>
      </c>
      <c r="AB27" s="23">
        <f t="shared" si="1"/>
        <v>0</v>
      </c>
      <c r="AC27" s="45">
        <f>IF(SUM(Z27:AB27)=0,0,SUM(Z27:AB27)/'Sch PA-T-1 Cust Fcst'!H26)</f>
        <v>0</v>
      </c>
    </row>
    <row r="28" spans="1:29">
      <c r="A28" s="155" t="s">
        <v>20</v>
      </c>
      <c r="B28" s="137">
        <f>'Sch TOU-PA Cust Fcst'!B27*'Non-Residential TSM UC Adj'!J28</f>
        <v>0</v>
      </c>
      <c r="C28" s="23">
        <f>'Sch TOU-PA Cust Fcst'!B27*'Non-Residential TSM UC Adj'!K28</f>
        <v>0</v>
      </c>
      <c r="D28" s="23">
        <f>'Sch TOU-PA Cust Fcst'!B27*'Non-Residential TSM UC Adj'!L28</f>
        <v>0</v>
      </c>
      <c r="E28" s="45">
        <f>IF(SUM(B28:D28)=0,0,SUM(B28:D28)/'Sch TOU-PA Cust Fcst'!B27)</f>
        <v>0</v>
      </c>
      <c r="F28" s="137">
        <f>'Sch TOU-PA Cust Fcst'!C27*'Non-Residential TSM UC Adj'!J28</f>
        <v>0</v>
      </c>
      <c r="G28" s="23">
        <f>'Sch TOU-PA Cust Fcst'!C27*'Non-Residential TSM UC Adj'!K28</f>
        <v>0</v>
      </c>
      <c r="H28" s="23">
        <f>'Sch TOU-PA Cust Fcst'!C27*'Non-Residential TSM UC Adj'!L28</f>
        <v>0</v>
      </c>
      <c r="I28" s="45">
        <f>IF(SUM(F28:H28)=0,0,SUM(F28:H28)/'Sch TOU-PA Cust Fcst'!C27)</f>
        <v>0</v>
      </c>
      <c r="J28" s="137">
        <f>'Sch TOU-PA Cust Fcst'!D27*'Non-Residential TSM UC Adj'!J28</f>
        <v>0</v>
      </c>
      <c r="K28" s="23">
        <f>'Sch TOU-PA Cust Fcst'!D27*'Non-Residential TSM UC Adj'!K28</f>
        <v>0</v>
      </c>
      <c r="L28" s="23">
        <f>'Sch TOU-PA Cust Fcst'!D27*'Non-Residential TSM UC Adj'!L28</f>
        <v>0</v>
      </c>
      <c r="M28" s="45">
        <f>IF(SUM(J28:L28)=0,0,SUM(J28:L28)/'Sch TOU-PA Cust Fcst'!D27)</f>
        <v>0</v>
      </c>
      <c r="N28" s="137">
        <f>'Sch TOU-PA Cust Fcst'!E27*'Non-Residential TSM UC Adj'!N28</f>
        <v>0</v>
      </c>
      <c r="O28" s="23">
        <f>'Sch TOU-PA Cust Fcst'!E27*'Non-Residential TSM UC Adj'!O28</f>
        <v>0</v>
      </c>
      <c r="P28" s="23">
        <f>'Sch TOU-PA Cust Fcst'!E27*'Non-Residential TSM UC Adj'!P28</f>
        <v>0</v>
      </c>
      <c r="Q28" s="45">
        <f>IF(SUM(N28:P28)=0,0,SUM(N28:P28)/'Sch TOU-PA Cust Fcst'!E27)</f>
        <v>0</v>
      </c>
      <c r="R28" s="137">
        <f t="shared" si="0"/>
        <v>0</v>
      </c>
      <c r="S28" s="23">
        <f t="shared" si="0"/>
        <v>0</v>
      </c>
      <c r="T28" s="23">
        <f t="shared" si="0"/>
        <v>0</v>
      </c>
      <c r="U28" s="45">
        <f>IF(SUM(R28:T28)=0,0,SUM(R28:T28)/'Sch PA-T-1 Cust Fcst'!F27)</f>
        <v>0</v>
      </c>
      <c r="V28" s="37">
        <f>'Sch TOU-PA Cust Fcst'!G27*'Non-Residential TSM UC Adj'!R28</f>
        <v>0</v>
      </c>
      <c r="W28" s="23">
        <f>'Sch TOU-PA Cust Fcst'!G27*'Non-Residential TSM UC Adj'!S28</f>
        <v>0</v>
      </c>
      <c r="X28" s="23">
        <f>'Sch TOU-PA Cust Fcst'!G27*'Non-Residential TSM UC Adj'!T28</f>
        <v>0</v>
      </c>
      <c r="Y28" s="45">
        <f>IF(SUM(V28:X28)=0,0,SUM(V28:X28)/'Sch TOU-PA Cust Fcst'!G27)</f>
        <v>0</v>
      </c>
      <c r="Z28" s="23">
        <f t="shared" si="1"/>
        <v>0</v>
      </c>
      <c r="AA28" s="23">
        <f t="shared" si="1"/>
        <v>0</v>
      </c>
      <c r="AB28" s="23">
        <f t="shared" si="1"/>
        <v>0</v>
      </c>
      <c r="AC28" s="45">
        <f>IF(SUM(Z28:AB28)=0,0,SUM(Z28:AB28)/'Sch PA-T-1 Cust Fcst'!H27)</f>
        <v>0</v>
      </c>
    </row>
    <row r="29" spans="1:29">
      <c r="A29" s="155" t="s">
        <v>21</v>
      </c>
      <c r="B29" s="137">
        <f>'Sch TOU-PA Cust Fcst'!B28*'Non-Residential TSM UC Adj'!J29</f>
        <v>0</v>
      </c>
      <c r="C29" s="23">
        <f>'Sch TOU-PA Cust Fcst'!B28*'Non-Residential TSM UC Adj'!K29</f>
        <v>0</v>
      </c>
      <c r="D29" s="23">
        <f>'Sch TOU-PA Cust Fcst'!B28*'Non-Residential TSM UC Adj'!L29</f>
        <v>0</v>
      </c>
      <c r="E29" s="45">
        <f>IF(SUM(B29:D29)=0,0,SUM(B29:D29)/'Sch TOU-PA Cust Fcst'!B28)</f>
        <v>0</v>
      </c>
      <c r="F29" s="137">
        <f>'Sch TOU-PA Cust Fcst'!C28*'Non-Residential TSM UC Adj'!J29</f>
        <v>0</v>
      </c>
      <c r="G29" s="23">
        <f>'Sch TOU-PA Cust Fcst'!C28*'Non-Residential TSM UC Adj'!K29</f>
        <v>0</v>
      </c>
      <c r="H29" s="23">
        <f>'Sch TOU-PA Cust Fcst'!C28*'Non-Residential TSM UC Adj'!L29</f>
        <v>0</v>
      </c>
      <c r="I29" s="45">
        <f>IF(SUM(F29:H29)=0,0,SUM(F29:H29)/'Sch TOU-PA Cust Fcst'!C28)</f>
        <v>0</v>
      </c>
      <c r="J29" s="137">
        <f>'Sch TOU-PA Cust Fcst'!D28*'Non-Residential TSM UC Adj'!J29</f>
        <v>0</v>
      </c>
      <c r="K29" s="23">
        <f>'Sch TOU-PA Cust Fcst'!D28*'Non-Residential TSM UC Adj'!K29</f>
        <v>0</v>
      </c>
      <c r="L29" s="23">
        <f>'Sch TOU-PA Cust Fcst'!D28*'Non-Residential TSM UC Adj'!L29</f>
        <v>0</v>
      </c>
      <c r="M29" s="45">
        <f>IF(SUM(J29:L29)=0,0,SUM(J29:L29)/'Sch TOU-PA Cust Fcst'!D28)</f>
        <v>0</v>
      </c>
      <c r="N29" s="137">
        <f>'Sch TOU-PA Cust Fcst'!E28*'Non-Residential TSM UC Adj'!N29</f>
        <v>0</v>
      </c>
      <c r="O29" s="23">
        <f>'Sch TOU-PA Cust Fcst'!E28*'Non-Residential TSM UC Adj'!O29</f>
        <v>0</v>
      </c>
      <c r="P29" s="23">
        <f>'Sch TOU-PA Cust Fcst'!E28*'Non-Residential TSM UC Adj'!P29</f>
        <v>0</v>
      </c>
      <c r="Q29" s="45">
        <f>IF(SUM(N29:P29)=0,0,SUM(N29:P29)/'Sch TOU-PA Cust Fcst'!E28)</f>
        <v>0</v>
      </c>
      <c r="R29" s="137">
        <f t="shared" si="0"/>
        <v>0</v>
      </c>
      <c r="S29" s="23">
        <f t="shared" si="0"/>
        <v>0</v>
      </c>
      <c r="T29" s="23">
        <f t="shared" si="0"/>
        <v>0</v>
      </c>
      <c r="U29" s="45">
        <f>IF(SUM(R29:T29)=0,0,SUM(R29:T29)/'Sch PA-T-1 Cust Fcst'!F28)</f>
        <v>0</v>
      </c>
      <c r="V29" s="37">
        <f>'Sch TOU-PA Cust Fcst'!G28*'Non-Residential TSM UC Adj'!R29</f>
        <v>0</v>
      </c>
      <c r="W29" s="23">
        <f>'Sch TOU-PA Cust Fcst'!G28*'Non-Residential TSM UC Adj'!S29</f>
        <v>0</v>
      </c>
      <c r="X29" s="23">
        <f>'Sch TOU-PA Cust Fcst'!G28*'Non-Residential TSM UC Adj'!T29</f>
        <v>0</v>
      </c>
      <c r="Y29" s="45">
        <f>IF(SUM(V29:X29)=0,0,SUM(V29:X29)/'Sch TOU-PA Cust Fcst'!G28)</f>
        <v>0</v>
      </c>
      <c r="Z29" s="23">
        <f t="shared" si="1"/>
        <v>0</v>
      </c>
      <c r="AA29" s="23">
        <f t="shared" si="1"/>
        <v>0</v>
      </c>
      <c r="AB29" s="23">
        <f t="shared" si="1"/>
        <v>0</v>
      </c>
      <c r="AC29" s="45">
        <f>IF(SUM(Z29:AB29)=0,0,SUM(Z29:AB29)/'Sch PA-T-1 Cust Fcst'!H28)</f>
        <v>0</v>
      </c>
    </row>
    <row r="30" spans="1:29">
      <c r="A30" s="155" t="s">
        <v>22</v>
      </c>
      <c r="B30" s="137">
        <f>'Sch TOU-PA Cust Fcst'!B29*'Non-Residential TSM UC Adj'!J30</f>
        <v>0</v>
      </c>
      <c r="C30" s="23">
        <f>'Sch TOU-PA Cust Fcst'!B29*'Non-Residential TSM UC Adj'!K30</f>
        <v>0</v>
      </c>
      <c r="D30" s="23">
        <f>'Sch TOU-PA Cust Fcst'!B29*'Non-Residential TSM UC Adj'!L30</f>
        <v>0</v>
      </c>
      <c r="E30" s="45">
        <f>IF(SUM(B30:D30)=0,0,SUM(B30:D30)/'Sch TOU-PA Cust Fcst'!B29)</f>
        <v>0</v>
      </c>
      <c r="F30" s="137">
        <f>'Sch TOU-PA Cust Fcst'!C29*'Non-Residential TSM UC Adj'!J30</f>
        <v>0</v>
      </c>
      <c r="G30" s="23">
        <f>'Sch TOU-PA Cust Fcst'!C29*'Non-Residential TSM UC Adj'!K30</f>
        <v>0</v>
      </c>
      <c r="H30" s="23">
        <f>'Sch TOU-PA Cust Fcst'!C29*'Non-Residential TSM UC Adj'!L30</f>
        <v>0</v>
      </c>
      <c r="I30" s="45">
        <f>IF(SUM(F30:H30)=0,0,SUM(F30:H30)/'Sch TOU-PA Cust Fcst'!C29)</f>
        <v>0</v>
      </c>
      <c r="J30" s="137">
        <f>'Sch TOU-PA Cust Fcst'!D29*'Non-Residential TSM UC Adj'!J30</f>
        <v>0</v>
      </c>
      <c r="K30" s="23">
        <f>'Sch TOU-PA Cust Fcst'!D29*'Non-Residential TSM UC Adj'!K30</f>
        <v>0</v>
      </c>
      <c r="L30" s="23">
        <f>'Sch TOU-PA Cust Fcst'!D29*'Non-Residential TSM UC Adj'!L30</f>
        <v>0</v>
      </c>
      <c r="M30" s="45">
        <f>IF(SUM(J30:L30)=0,0,SUM(J30:L30)/'Sch TOU-PA Cust Fcst'!D29)</f>
        <v>0</v>
      </c>
      <c r="N30" s="137">
        <f>'Sch TOU-PA Cust Fcst'!E29*'Non-Residential TSM UC Adj'!N30</f>
        <v>0</v>
      </c>
      <c r="O30" s="23">
        <f>'Sch TOU-PA Cust Fcst'!E29*'Non-Residential TSM UC Adj'!O30</f>
        <v>0</v>
      </c>
      <c r="P30" s="23">
        <f>'Sch TOU-PA Cust Fcst'!E29*'Non-Residential TSM UC Adj'!P30</f>
        <v>0</v>
      </c>
      <c r="Q30" s="45">
        <f>IF(SUM(N30:P30)=0,0,SUM(N30:P30)/'Sch TOU-PA Cust Fcst'!E29)</f>
        <v>0</v>
      </c>
      <c r="R30" s="137">
        <f t="shared" si="0"/>
        <v>0</v>
      </c>
      <c r="S30" s="23">
        <f t="shared" si="0"/>
        <v>0</v>
      </c>
      <c r="T30" s="23">
        <f t="shared" si="0"/>
        <v>0</v>
      </c>
      <c r="U30" s="45">
        <f>IF(SUM(R30:T30)=0,0,SUM(R30:T30)/'Sch PA-T-1 Cust Fcst'!F29)</f>
        <v>0</v>
      </c>
      <c r="V30" s="37">
        <f>'Sch TOU-PA Cust Fcst'!G29*'Non-Residential TSM UC Adj'!R30</f>
        <v>0</v>
      </c>
      <c r="W30" s="23">
        <f>'Sch TOU-PA Cust Fcst'!G29*'Non-Residential TSM UC Adj'!S30</f>
        <v>0</v>
      </c>
      <c r="X30" s="23">
        <f>'Sch TOU-PA Cust Fcst'!G29*'Non-Residential TSM UC Adj'!T30</f>
        <v>0</v>
      </c>
      <c r="Y30" s="45">
        <f>IF(SUM(V30:X30)=0,0,SUM(V30:X30)/'Sch TOU-PA Cust Fcst'!G29)</f>
        <v>0</v>
      </c>
      <c r="Z30" s="23">
        <f t="shared" si="1"/>
        <v>0</v>
      </c>
      <c r="AA30" s="23">
        <f t="shared" si="1"/>
        <v>0</v>
      </c>
      <c r="AB30" s="23">
        <f t="shared" si="1"/>
        <v>0</v>
      </c>
      <c r="AC30" s="45">
        <f>IF(SUM(Z30:AB30)=0,0,SUM(Z30:AB30)/'Sch PA-T-1 Cust Fcst'!H29)</f>
        <v>0</v>
      </c>
    </row>
    <row r="31" spans="1:29">
      <c r="A31" s="153" t="s">
        <v>23</v>
      </c>
      <c r="B31" s="137">
        <f>'Sch TOU-PA Cust Fcst'!B30*'Non-Residential TSM UC Adj'!J31</f>
        <v>0</v>
      </c>
      <c r="C31" s="23">
        <f>'Sch TOU-PA Cust Fcst'!B30*'Non-Residential TSM UC Adj'!K31</f>
        <v>0</v>
      </c>
      <c r="D31" s="23">
        <f>'Sch TOU-PA Cust Fcst'!B30*'Non-Residential TSM UC Adj'!L31</f>
        <v>0</v>
      </c>
      <c r="E31" s="45">
        <f>IF(SUM(B31:D31)=0,0,SUM(B31:D31)/'Sch TOU-PA Cust Fcst'!B30)</f>
        <v>0</v>
      </c>
      <c r="F31" s="137">
        <f>'Sch TOU-PA Cust Fcst'!C30*'Non-Residential TSM UC Adj'!J31</f>
        <v>0</v>
      </c>
      <c r="G31" s="23">
        <f>'Sch TOU-PA Cust Fcst'!C30*'Non-Residential TSM UC Adj'!K31</f>
        <v>0</v>
      </c>
      <c r="H31" s="23">
        <f>'Sch TOU-PA Cust Fcst'!C30*'Non-Residential TSM UC Adj'!L31</f>
        <v>0</v>
      </c>
      <c r="I31" s="45">
        <f>IF(SUM(F31:H31)=0,0,SUM(F31:H31)/'Sch TOU-PA Cust Fcst'!C30)</f>
        <v>0</v>
      </c>
      <c r="J31" s="137">
        <f>'Sch TOU-PA Cust Fcst'!D30*'Non-Residential TSM UC Adj'!J31</f>
        <v>0</v>
      </c>
      <c r="K31" s="23">
        <f>'Sch TOU-PA Cust Fcst'!D30*'Non-Residential TSM UC Adj'!K31</f>
        <v>0</v>
      </c>
      <c r="L31" s="23">
        <f>'Sch TOU-PA Cust Fcst'!D30*'Non-Residential TSM UC Adj'!L31</f>
        <v>0</v>
      </c>
      <c r="M31" s="45">
        <f>IF(SUM(J31:L31)=0,0,SUM(J31:L31)/'Sch TOU-PA Cust Fcst'!D30)</f>
        <v>0</v>
      </c>
      <c r="N31" s="137">
        <f>'Sch TOU-PA Cust Fcst'!E30*'Non-Residential TSM UC Adj'!N31</f>
        <v>0</v>
      </c>
      <c r="O31" s="23">
        <f>'Sch TOU-PA Cust Fcst'!E30*'Non-Residential TSM UC Adj'!O31</f>
        <v>0</v>
      </c>
      <c r="P31" s="23">
        <f>'Sch TOU-PA Cust Fcst'!E30*'Non-Residential TSM UC Adj'!P31</f>
        <v>0</v>
      </c>
      <c r="Q31" s="45">
        <f>IF(SUM(N31:P31)=0,0,SUM(N31:P31)/'Sch TOU-PA Cust Fcst'!E30)</f>
        <v>0</v>
      </c>
      <c r="R31" s="137">
        <f t="shared" si="0"/>
        <v>0</v>
      </c>
      <c r="S31" s="23">
        <f t="shared" si="0"/>
        <v>0</v>
      </c>
      <c r="T31" s="23">
        <f t="shared" si="0"/>
        <v>0</v>
      </c>
      <c r="U31" s="45">
        <f>IF(SUM(R31:T31)=0,0,SUM(R31:T31)/'Sch PA-T-1 Cust Fcst'!F30)</f>
        <v>0</v>
      </c>
      <c r="V31" s="37">
        <f>'Sch TOU-PA Cust Fcst'!G30*'Non-Residential TSM UC Adj'!R31</f>
        <v>0</v>
      </c>
      <c r="W31" s="23">
        <f>'Sch TOU-PA Cust Fcst'!G30*'Non-Residential TSM UC Adj'!S31</f>
        <v>7772.9285855999342</v>
      </c>
      <c r="X31" s="23">
        <f>'Sch TOU-PA Cust Fcst'!G30*'Non-Residential TSM UC Adj'!T31</f>
        <v>967.82163835260417</v>
      </c>
      <c r="Y31" s="45">
        <f>IF(SUM(V31:X31)=0,0,SUM(V31:X31)/'Sch TOU-PA Cust Fcst'!G30)</f>
        <v>8740.7502239525384</v>
      </c>
      <c r="Z31" s="23">
        <f t="shared" si="1"/>
        <v>0</v>
      </c>
      <c r="AA31" s="23">
        <f t="shared" si="1"/>
        <v>7772.9285855999342</v>
      </c>
      <c r="AB31" s="23">
        <f t="shared" si="1"/>
        <v>967.82163835260417</v>
      </c>
      <c r="AC31" s="45">
        <f>IF(SUM(Z31:AB31)=0,0,SUM(Z31:AB31)/'Sch PA-T-1 Cust Fcst'!H30)</f>
        <v>4370.3751119762692</v>
      </c>
    </row>
    <row r="32" spans="1:29">
      <c r="A32" s="153" t="s">
        <v>24</v>
      </c>
      <c r="B32" s="137">
        <f>'Sch TOU-PA Cust Fcst'!B31*'Non-Residential TSM UC Adj'!J32</f>
        <v>0</v>
      </c>
      <c r="C32" s="23">
        <f>'Sch TOU-PA Cust Fcst'!B31*'Non-Residential TSM UC Adj'!K32</f>
        <v>0</v>
      </c>
      <c r="D32" s="23">
        <f>'Sch TOU-PA Cust Fcst'!B31*'Non-Residential TSM UC Adj'!L32</f>
        <v>0</v>
      </c>
      <c r="E32" s="45">
        <f>IF(SUM(B32:D32)=0,0,SUM(B32:D32)/'Sch TOU-PA Cust Fcst'!B31)</f>
        <v>0</v>
      </c>
      <c r="F32" s="137">
        <f>'Sch TOU-PA Cust Fcst'!C31*'Non-Residential TSM UC Adj'!J32</f>
        <v>0</v>
      </c>
      <c r="G32" s="23">
        <f>'Sch TOU-PA Cust Fcst'!C31*'Non-Residential TSM UC Adj'!K32</f>
        <v>0</v>
      </c>
      <c r="H32" s="23">
        <f>'Sch TOU-PA Cust Fcst'!C31*'Non-Residential TSM UC Adj'!L32</f>
        <v>0</v>
      </c>
      <c r="I32" s="45">
        <f>IF(SUM(F32:H32)=0,0,SUM(F32:H32)/'Sch TOU-PA Cust Fcst'!C31)</f>
        <v>0</v>
      </c>
      <c r="J32" s="137">
        <f>'Sch TOU-PA Cust Fcst'!D31*'Non-Residential TSM UC Adj'!J32</f>
        <v>0</v>
      </c>
      <c r="K32" s="23">
        <f>'Sch TOU-PA Cust Fcst'!D31*'Non-Residential TSM UC Adj'!K32</f>
        <v>0</v>
      </c>
      <c r="L32" s="23">
        <f>'Sch TOU-PA Cust Fcst'!D31*'Non-Residential TSM UC Adj'!L32</f>
        <v>0</v>
      </c>
      <c r="M32" s="45">
        <f>IF(SUM(J32:L32)=0,0,SUM(J32:L32)/'Sch TOU-PA Cust Fcst'!D31)</f>
        <v>0</v>
      </c>
      <c r="N32" s="137">
        <f>'Sch TOU-PA Cust Fcst'!E31*'Non-Residential TSM UC Adj'!N32</f>
        <v>0</v>
      </c>
      <c r="O32" s="23">
        <f>'Sch TOU-PA Cust Fcst'!E31*'Non-Residential TSM UC Adj'!O32</f>
        <v>0</v>
      </c>
      <c r="P32" s="23">
        <f>'Sch TOU-PA Cust Fcst'!E31*'Non-Residential TSM UC Adj'!P32</f>
        <v>0</v>
      </c>
      <c r="Q32" s="45">
        <f>IF(SUM(N32:P32)=0,0,SUM(N32:P32)/'Sch TOU-PA Cust Fcst'!E31)</f>
        <v>0</v>
      </c>
      <c r="R32" s="137">
        <f t="shared" si="0"/>
        <v>0</v>
      </c>
      <c r="S32" s="23">
        <f t="shared" si="0"/>
        <v>0</v>
      </c>
      <c r="T32" s="23">
        <f t="shared" si="0"/>
        <v>0</v>
      </c>
      <c r="U32" s="45">
        <f>IF(SUM(R32:T32)=0,0,SUM(R32:T32)/'Sch PA-T-1 Cust Fcst'!F31)</f>
        <v>0</v>
      </c>
      <c r="V32" s="37">
        <f>'Sch TOU-PA Cust Fcst'!G31*'Non-Residential TSM UC Adj'!R32</f>
        <v>0</v>
      </c>
      <c r="W32" s="23">
        <f>'Sch TOU-PA Cust Fcst'!G31*'Non-Residential TSM UC Adj'!S32</f>
        <v>0</v>
      </c>
      <c r="X32" s="23">
        <f>'Sch TOU-PA Cust Fcst'!G31*'Non-Residential TSM UC Adj'!T32</f>
        <v>0</v>
      </c>
      <c r="Y32" s="45">
        <f>IF(SUM(V32:X32)=0,0,SUM(V32:X32)/'Sch TOU-PA Cust Fcst'!G31)</f>
        <v>0</v>
      </c>
      <c r="Z32" s="23">
        <f t="shared" si="1"/>
        <v>0</v>
      </c>
      <c r="AA32" s="23">
        <f t="shared" si="1"/>
        <v>0</v>
      </c>
      <c r="AB32" s="23">
        <f t="shared" si="1"/>
        <v>0</v>
      </c>
      <c r="AC32" s="45">
        <f>IF(SUM(Z32:AB32)=0,0,SUM(Z32:AB32)/'Sch PA-T-1 Cust Fcst'!H31)</f>
        <v>0</v>
      </c>
    </row>
    <row r="33" spans="1:29">
      <c r="A33" s="153" t="s">
        <v>25</v>
      </c>
      <c r="B33" s="137">
        <f>'Sch TOU-PA Cust Fcst'!B32*'Non-Residential TSM UC Adj'!J33</f>
        <v>0</v>
      </c>
      <c r="C33" s="23">
        <f>'Sch TOU-PA Cust Fcst'!B32*'Non-Residential TSM UC Adj'!K33</f>
        <v>0</v>
      </c>
      <c r="D33" s="23">
        <f>'Sch TOU-PA Cust Fcst'!B32*'Non-Residential TSM UC Adj'!L33</f>
        <v>0</v>
      </c>
      <c r="E33" s="45">
        <f>IF(SUM(B33:D33)=0,0,SUM(B33:D33)/'Sch TOU-PA Cust Fcst'!B32)</f>
        <v>0</v>
      </c>
      <c r="F33" s="137">
        <f>'Sch TOU-PA Cust Fcst'!C32*'Non-Residential TSM UC Adj'!J33</f>
        <v>0</v>
      </c>
      <c r="G33" s="23">
        <f>'Sch TOU-PA Cust Fcst'!C32*'Non-Residential TSM UC Adj'!K33</f>
        <v>0</v>
      </c>
      <c r="H33" s="23">
        <f>'Sch TOU-PA Cust Fcst'!C32*'Non-Residential TSM UC Adj'!L33</f>
        <v>0</v>
      </c>
      <c r="I33" s="45">
        <f>IF(SUM(F33:H33)=0,0,SUM(F33:H33)/'Sch TOU-PA Cust Fcst'!C32)</f>
        <v>0</v>
      </c>
      <c r="J33" s="137">
        <f>'Sch TOU-PA Cust Fcst'!D32*'Non-Residential TSM UC Adj'!J33</f>
        <v>0</v>
      </c>
      <c r="K33" s="23">
        <f>'Sch TOU-PA Cust Fcst'!D32*'Non-Residential TSM UC Adj'!K33</f>
        <v>0</v>
      </c>
      <c r="L33" s="23">
        <f>'Sch TOU-PA Cust Fcst'!D32*'Non-Residential TSM UC Adj'!L33</f>
        <v>0</v>
      </c>
      <c r="M33" s="45">
        <f>IF(SUM(J33:L33)=0,0,SUM(J33:L33)/'Sch TOU-PA Cust Fcst'!D32)</f>
        <v>0</v>
      </c>
      <c r="N33" s="137">
        <f>'Sch TOU-PA Cust Fcst'!E32*'Non-Residential TSM UC Adj'!N33</f>
        <v>0</v>
      </c>
      <c r="O33" s="23">
        <f>'Sch TOU-PA Cust Fcst'!E32*'Non-Residential TSM UC Adj'!O33</f>
        <v>0</v>
      </c>
      <c r="P33" s="23">
        <f>'Sch TOU-PA Cust Fcst'!E32*'Non-Residential TSM UC Adj'!P33</f>
        <v>0</v>
      </c>
      <c r="Q33" s="45">
        <f>IF(SUM(N33:P33)=0,0,SUM(N33:P33)/'Sch TOU-PA Cust Fcst'!E32)</f>
        <v>0</v>
      </c>
      <c r="R33" s="137">
        <f t="shared" si="0"/>
        <v>0</v>
      </c>
      <c r="S33" s="23">
        <f t="shared" si="0"/>
        <v>0</v>
      </c>
      <c r="T33" s="23">
        <f t="shared" si="0"/>
        <v>0</v>
      </c>
      <c r="U33" s="45">
        <f>IF(SUM(R33:T33)=0,0,SUM(R33:T33)/'Sch PA-T-1 Cust Fcst'!F32)</f>
        <v>0</v>
      </c>
      <c r="V33" s="37">
        <f>'Sch TOU-PA Cust Fcst'!G32*'Non-Residential TSM UC Adj'!R33</f>
        <v>0</v>
      </c>
      <c r="W33" s="23">
        <f>'Sch TOU-PA Cust Fcst'!G32*'Non-Residential TSM UC Adj'!S33</f>
        <v>0</v>
      </c>
      <c r="X33" s="23">
        <f>'Sch TOU-PA Cust Fcst'!G32*'Non-Residential TSM UC Adj'!T33</f>
        <v>0</v>
      </c>
      <c r="Y33" s="45">
        <f>IF(SUM(V33:X33)=0,0,SUM(V33:X33)/'Sch TOU-PA Cust Fcst'!G32)</f>
        <v>0</v>
      </c>
      <c r="Z33" s="23">
        <f t="shared" si="1"/>
        <v>0</v>
      </c>
      <c r="AA33" s="23">
        <f t="shared" si="1"/>
        <v>0</v>
      </c>
      <c r="AB33" s="23">
        <f t="shared" si="1"/>
        <v>0</v>
      </c>
      <c r="AC33" s="45">
        <f>IF(SUM(Z33:AB33)=0,0,SUM(Z33:AB33)/'Sch PA-T-1 Cust Fcst'!H32)</f>
        <v>0</v>
      </c>
    </row>
    <row r="34" spans="1:29">
      <c r="A34" s="153" t="s">
        <v>125</v>
      </c>
      <c r="B34" s="137">
        <f>'Sch TOU-PA Cust Fcst'!B33*'Non-Residential TSM UC Adj'!J34</f>
        <v>0</v>
      </c>
      <c r="C34" s="23">
        <f>'Sch TOU-PA Cust Fcst'!B33*'Non-Residential TSM UC Adj'!K34</f>
        <v>0</v>
      </c>
      <c r="D34" s="23">
        <f>'Sch TOU-PA Cust Fcst'!B33*'Non-Residential TSM UC Adj'!L34</f>
        <v>0</v>
      </c>
      <c r="E34" s="45">
        <f>IF(SUM(B34:D34)=0,0,SUM(B34:D34)/'Sch TOU-PA Cust Fcst'!B33)</f>
        <v>0</v>
      </c>
      <c r="F34" s="137">
        <f>'Sch TOU-PA Cust Fcst'!C33*'Non-Residential TSM UC Adj'!J34</f>
        <v>0</v>
      </c>
      <c r="G34" s="23">
        <f>'Sch TOU-PA Cust Fcst'!C33*'Non-Residential TSM UC Adj'!K34</f>
        <v>0</v>
      </c>
      <c r="H34" s="23">
        <f>'Sch TOU-PA Cust Fcst'!C33*'Non-Residential TSM UC Adj'!L34</f>
        <v>0</v>
      </c>
      <c r="I34" s="45">
        <f>IF(SUM(F34:H34)=0,0,SUM(F34:H34)/'Sch TOU-PA Cust Fcst'!C33)</f>
        <v>0</v>
      </c>
      <c r="J34" s="137">
        <f>'Sch TOU-PA Cust Fcst'!D33*'Non-Residential TSM UC Adj'!J34</f>
        <v>0</v>
      </c>
      <c r="K34" s="23">
        <f>'Sch TOU-PA Cust Fcst'!D33*'Non-Residential TSM UC Adj'!K34</f>
        <v>0</v>
      </c>
      <c r="L34" s="23">
        <f>'Sch TOU-PA Cust Fcst'!D33*'Non-Residential TSM UC Adj'!L34</f>
        <v>0</v>
      </c>
      <c r="M34" s="45">
        <f>IF(SUM(J34:L34)=0,0,SUM(J34:L34)/'Sch TOU-PA Cust Fcst'!D33)</f>
        <v>0</v>
      </c>
      <c r="N34" s="137">
        <f>'Sch TOU-PA Cust Fcst'!E33*'Non-Residential TSM UC Adj'!N34</f>
        <v>0</v>
      </c>
      <c r="O34" s="23">
        <f>'Sch TOU-PA Cust Fcst'!E33*'Non-Residential TSM UC Adj'!O34</f>
        <v>0</v>
      </c>
      <c r="P34" s="23">
        <f>'Sch TOU-PA Cust Fcst'!E33*'Non-Residential TSM UC Adj'!P34</f>
        <v>0</v>
      </c>
      <c r="Q34" s="45">
        <f>IF(SUM(N34:P34)=0,0,SUM(N34:P34)/'Sch TOU-PA Cust Fcst'!E33)</f>
        <v>0</v>
      </c>
      <c r="R34" s="137">
        <f t="shared" si="0"/>
        <v>0</v>
      </c>
      <c r="S34" s="23">
        <f t="shared" si="0"/>
        <v>0</v>
      </c>
      <c r="T34" s="23">
        <f t="shared" si="0"/>
        <v>0</v>
      </c>
      <c r="U34" s="45">
        <f>IF(SUM(R34:T34)=0,0,SUM(R34:T34)/'Sch PA-T-1 Cust Fcst'!F33)</f>
        <v>0</v>
      </c>
      <c r="V34" s="37">
        <f>'Sch TOU-PA Cust Fcst'!G33*'Non-Residential TSM UC Adj'!R34</f>
        <v>0</v>
      </c>
      <c r="W34" s="23">
        <f>'Sch TOU-PA Cust Fcst'!G33*'Non-Residential TSM UC Adj'!S34</f>
        <v>0</v>
      </c>
      <c r="X34" s="23">
        <f>'Sch TOU-PA Cust Fcst'!G33*'Non-Residential TSM UC Adj'!T34</f>
        <v>0</v>
      </c>
      <c r="Y34" s="45">
        <f>IF(SUM(V34:X34)=0,0,SUM(V34:X34)/'Sch TOU-PA Cust Fcst'!G33)</f>
        <v>0</v>
      </c>
      <c r="Z34" s="23">
        <f t="shared" si="1"/>
        <v>0</v>
      </c>
      <c r="AA34" s="23">
        <f t="shared" si="1"/>
        <v>0</v>
      </c>
      <c r="AB34" s="23">
        <f t="shared" si="1"/>
        <v>0</v>
      </c>
      <c r="AC34" s="45">
        <f>IF(SUM(Z34:AB34)=0,0,SUM(Z34:AB34)/'Sch PA-T-1 Cust Fcst'!H33)</f>
        <v>0</v>
      </c>
    </row>
    <row r="35" spans="1:29">
      <c r="A35" s="153" t="s">
        <v>126</v>
      </c>
      <c r="B35" s="137">
        <f>'Sch TOU-PA Cust Fcst'!B34*'Non-Residential TSM UC Adj'!J35</f>
        <v>0</v>
      </c>
      <c r="C35" s="23">
        <f>'Sch TOU-PA Cust Fcst'!B34*'Non-Residential TSM UC Adj'!K35</f>
        <v>0</v>
      </c>
      <c r="D35" s="23">
        <f>'Sch TOU-PA Cust Fcst'!B34*'Non-Residential TSM UC Adj'!L35</f>
        <v>0</v>
      </c>
      <c r="E35" s="45">
        <f>IF(SUM(B35:D35)=0,0,SUM(B35:D35)/'Sch TOU-PA Cust Fcst'!B34)</f>
        <v>0</v>
      </c>
      <c r="F35" s="137">
        <f>'Sch TOU-PA Cust Fcst'!C34*'Non-Residential TSM UC Adj'!J35</f>
        <v>0</v>
      </c>
      <c r="G35" s="23">
        <f>'Sch TOU-PA Cust Fcst'!C34*'Non-Residential TSM UC Adj'!K35</f>
        <v>0</v>
      </c>
      <c r="H35" s="23">
        <f>'Sch TOU-PA Cust Fcst'!C34*'Non-Residential TSM UC Adj'!L35</f>
        <v>0</v>
      </c>
      <c r="I35" s="45">
        <f>IF(SUM(F35:H35)=0,0,SUM(F35:H35)/'Sch TOU-PA Cust Fcst'!C34)</f>
        <v>0</v>
      </c>
      <c r="J35" s="137">
        <f>'Sch TOU-PA Cust Fcst'!D34*'Non-Residential TSM UC Adj'!J35</f>
        <v>0</v>
      </c>
      <c r="K35" s="23">
        <f>'Sch TOU-PA Cust Fcst'!D34*'Non-Residential TSM UC Adj'!K35</f>
        <v>0</v>
      </c>
      <c r="L35" s="23">
        <f>'Sch TOU-PA Cust Fcst'!D34*'Non-Residential TSM UC Adj'!L35</f>
        <v>0</v>
      </c>
      <c r="M35" s="45">
        <f>IF(SUM(J35:L35)=0,0,SUM(J35:L35)/'Sch TOU-PA Cust Fcst'!D34)</f>
        <v>0</v>
      </c>
      <c r="N35" s="137">
        <f>'Sch TOU-PA Cust Fcst'!E34*'Non-Residential TSM UC Adj'!N35</f>
        <v>0</v>
      </c>
      <c r="O35" s="23">
        <f>'Sch TOU-PA Cust Fcst'!E34*'Non-Residential TSM UC Adj'!O35</f>
        <v>0</v>
      </c>
      <c r="P35" s="23">
        <f>'Sch TOU-PA Cust Fcst'!E34*'Non-Residential TSM UC Adj'!P35</f>
        <v>0</v>
      </c>
      <c r="Q35" s="45">
        <f>IF(SUM(N35:P35)=0,0,SUM(N35:P35)/'Sch TOU-PA Cust Fcst'!E34)</f>
        <v>0</v>
      </c>
      <c r="R35" s="137">
        <f t="shared" si="0"/>
        <v>0</v>
      </c>
      <c r="S35" s="23">
        <f t="shared" si="0"/>
        <v>0</v>
      </c>
      <c r="T35" s="23">
        <f t="shared" si="0"/>
        <v>0</v>
      </c>
      <c r="U35" s="45">
        <f>IF(SUM(R35:T35)=0,0,SUM(R35:T35)/'Sch PA-T-1 Cust Fcst'!F34)</f>
        <v>0</v>
      </c>
      <c r="V35" s="37">
        <f>'Sch TOU-PA Cust Fcst'!G34*'Non-Residential TSM UC Adj'!R35</f>
        <v>0</v>
      </c>
      <c r="W35" s="23">
        <f>'Sch TOU-PA Cust Fcst'!G34*'Non-Residential TSM UC Adj'!S35</f>
        <v>0</v>
      </c>
      <c r="X35" s="23">
        <f>'Sch TOU-PA Cust Fcst'!G34*'Non-Residential TSM UC Adj'!T35</f>
        <v>0</v>
      </c>
      <c r="Y35" s="45">
        <f>IF(SUM(V35:X35)=0,0,SUM(V35:X35)/'Sch TOU-PA Cust Fcst'!G34)</f>
        <v>0</v>
      </c>
      <c r="Z35" s="23">
        <f t="shared" si="1"/>
        <v>0</v>
      </c>
      <c r="AA35" s="23">
        <f t="shared" si="1"/>
        <v>0</v>
      </c>
      <c r="AB35" s="23">
        <f t="shared" si="1"/>
        <v>0</v>
      </c>
      <c r="AC35" s="45">
        <f>IF(SUM(Z35:AB35)=0,0,SUM(Z35:AB35)/'Sch PA-T-1 Cust Fcst'!H34)</f>
        <v>0</v>
      </c>
    </row>
    <row r="36" spans="1:29">
      <c r="A36" s="155" t="s">
        <v>26</v>
      </c>
      <c r="B36" s="137">
        <f>'Sch TOU-PA Cust Fcst'!B35*'Non-Residential TSM UC Adj'!J36</f>
        <v>0</v>
      </c>
      <c r="C36" s="23">
        <f>'Sch TOU-PA Cust Fcst'!B35*'Non-Residential TSM UC Adj'!K36</f>
        <v>0</v>
      </c>
      <c r="D36" s="23">
        <f>'Sch TOU-PA Cust Fcst'!B35*'Non-Residential TSM UC Adj'!L36</f>
        <v>0</v>
      </c>
      <c r="E36" s="45">
        <f>IF(SUM(B36:D36)=0,0,SUM(B36:D36)/'Sch TOU-PA Cust Fcst'!B35)</f>
        <v>0</v>
      </c>
      <c r="F36" s="137">
        <f>'Sch TOU-PA Cust Fcst'!C35*'Non-Residential TSM UC Adj'!J36</f>
        <v>0</v>
      </c>
      <c r="G36" s="23">
        <f>'Sch TOU-PA Cust Fcst'!C35*'Non-Residential TSM UC Adj'!K36</f>
        <v>0</v>
      </c>
      <c r="H36" s="23">
        <f>'Sch TOU-PA Cust Fcst'!C35*'Non-Residential TSM UC Adj'!L36</f>
        <v>0</v>
      </c>
      <c r="I36" s="45">
        <f>IF(SUM(F36:H36)=0,0,SUM(F36:H36)/'Sch TOU-PA Cust Fcst'!C35)</f>
        <v>0</v>
      </c>
      <c r="J36" s="137">
        <f>'Sch TOU-PA Cust Fcst'!D35*'Non-Residential TSM UC Adj'!J36</f>
        <v>0</v>
      </c>
      <c r="K36" s="23">
        <f>'Sch TOU-PA Cust Fcst'!D35*'Non-Residential TSM UC Adj'!K36</f>
        <v>0</v>
      </c>
      <c r="L36" s="23">
        <f>'Sch TOU-PA Cust Fcst'!D35*'Non-Residential TSM UC Adj'!L36</f>
        <v>0</v>
      </c>
      <c r="M36" s="45">
        <f>IF(SUM(J36:L36)=0,0,SUM(J36:L36)/'Sch TOU-PA Cust Fcst'!D35)</f>
        <v>0</v>
      </c>
      <c r="N36" s="137">
        <f>'Sch TOU-PA Cust Fcst'!E35*'Non-Residential TSM UC Adj'!N36</f>
        <v>0</v>
      </c>
      <c r="O36" s="23">
        <f>'Sch TOU-PA Cust Fcst'!E35*'Non-Residential TSM UC Adj'!O36</f>
        <v>0</v>
      </c>
      <c r="P36" s="23">
        <f>'Sch TOU-PA Cust Fcst'!E35*'Non-Residential TSM UC Adj'!P36</f>
        <v>0</v>
      </c>
      <c r="Q36" s="45">
        <f>IF(SUM(N36:P36)=0,0,SUM(N36:P36)/'Sch TOU-PA Cust Fcst'!E35)</f>
        <v>0</v>
      </c>
      <c r="R36" s="137">
        <f t="shared" si="0"/>
        <v>0</v>
      </c>
      <c r="S36" s="23">
        <f t="shared" si="0"/>
        <v>0</v>
      </c>
      <c r="T36" s="23">
        <f t="shared" si="0"/>
        <v>0</v>
      </c>
      <c r="U36" s="45">
        <f>IF(SUM(R36:T36)=0,0,SUM(R36:T36)/'Sch PA-T-1 Cust Fcst'!F35)</f>
        <v>0</v>
      </c>
      <c r="V36" s="37">
        <f>'Sch TOU-PA Cust Fcst'!G35*'Non-Residential TSM UC Adj'!R36</f>
        <v>0</v>
      </c>
      <c r="W36" s="23">
        <f>'Sch TOU-PA Cust Fcst'!G35*'Non-Residential TSM UC Adj'!S36</f>
        <v>0</v>
      </c>
      <c r="X36" s="23">
        <f>'Sch TOU-PA Cust Fcst'!G35*'Non-Residential TSM UC Adj'!T36</f>
        <v>0</v>
      </c>
      <c r="Y36" s="45">
        <f>IF(SUM(V36:X36)=0,0,SUM(V36:X36)/'Sch TOU-PA Cust Fcst'!G35)</f>
        <v>0</v>
      </c>
      <c r="Z36" s="23">
        <f t="shared" si="1"/>
        <v>0</v>
      </c>
      <c r="AA36" s="23">
        <f t="shared" si="1"/>
        <v>0</v>
      </c>
      <c r="AB36" s="23">
        <f t="shared" si="1"/>
        <v>0</v>
      </c>
      <c r="AC36" s="45">
        <f>IF(SUM(Z36:AB36)=0,0,SUM(Z36:AB36)/'Sch PA-T-1 Cust Fcst'!H35)</f>
        <v>0</v>
      </c>
    </row>
    <row r="37" spans="1:29">
      <c r="A37" s="155" t="s">
        <v>27</v>
      </c>
      <c r="B37" s="137">
        <f>'Sch TOU-PA Cust Fcst'!B36*'Non-Residential TSM UC Adj'!J37</f>
        <v>0</v>
      </c>
      <c r="C37" s="23">
        <f>'Sch TOU-PA Cust Fcst'!B36*'Non-Residential TSM UC Adj'!K37</f>
        <v>0</v>
      </c>
      <c r="D37" s="23">
        <f>'Sch TOU-PA Cust Fcst'!B36*'Non-Residential TSM UC Adj'!L37</f>
        <v>0</v>
      </c>
      <c r="E37" s="45">
        <f>IF(SUM(B37:D37)=0,0,SUM(B37:D37)/'Sch TOU-PA Cust Fcst'!B36)</f>
        <v>0</v>
      </c>
      <c r="F37" s="137">
        <f>'Sch TOU-PA Cust Fcst'!C36*'Non-Residential TSM UC Adj'!J37</f>
        <v>0</v>
      </c>
      <c r="G37" s="23">
        <f>'Sch TOU-PA Cust Fcst'!C36*'Non-Residential TSM UC Adj'!K37</f>
        <v>0</v>
      </c>
      <c r="H37" s="23">
        <f>'Sch TOU-PA Cust Fcst'!C36*'Non-Residential TSM UC Adj'!L37</f>
        <v>0</v>
      </c>
      <c r="I37" s="45">
        <f>IF(SUM(F37:H37)=0,0,SUM(F37:H37)/'Sch TOU-PA Cust Fcst'!C36)</f>
        <v>0</v>
      </c>
      <c r="J37" s="137">
        <f>'Sch TOU-PA Cust Fcst'!D36*'Non-Residential TSM UC Adj'!J37</f>
        <v>0</v>
      </c>
      <c r="K37" s="23">
        <f>'Sch TOU-PA Cust Fcst'!D36*'Non-Residential TSM UC Adj'!K37</f>
        <v>0</v>
      </c>
      <c r="L37" s="23">
        <f>'Sch TOU-PA Cust Fcst'!D36*'Non-Residential TSM UC Adj'!L37</f>
        <v>0</v>
      </c>
      <c r="M37" s="45">
        <f>IF(SUM(J37:L37)=0,0,SUM(J37:L37)/'Sch TOU-PA Cust Fcst'!D36)</f>
        <v>0</v>
      </c>
      <c r="N37" s="137">
        <f>'Sch TOU-PA Cust Fcst'!E36*'Non-Residential TSM UC Adj'!N37</f>
        <v>0</v>
      </c>
      <c r="O37" s="23">
        <f>'Sch TOU-PA Cust Fcst'!E36*'Non-Residential TSM UC Adj'!O37</f>
        <v>0</v>
      </c>
      <c r="P37" s="23">
        <f>'Sch TOU-PA Cust Fcst'!E36*'Non-Residential TSM UC Adj'!P37</f>
        <v>0</v>
      </c>
      <c r="Q37" s="45">
        <f>IF(SUM(N37:P37)=0,0,SUM(N37:P37)/'Sch TOU-PA Cust Fcst'!E36)</f>
        <v>0</v>
      </c>
      <c r="R37" s="137">
        <f t="shared" si="0"/>
        <v>0</v>
      </c>
      <c r="S37" s="23">
        <f t="shared" si="0"/>
        <v>0</v>
      </c>
      <c r="T37" s="23">
        <f t="shared" si="0"/>
        <v>0</v>
      </c>
      <c r="U37" s="45">
        <f>IF(SUM(R37:T37)=0,0,SUM(R37:T37)/'Sch PA-T-1 Cust Fcst'!F36)</f>
        <v>0</v>
      </c>
      <c r="V37" s="37">
        <f>'Sch TOU-PA Cust Fcst'!G36*'Non-Residential TSM UC Adj'!R37</f>
        <v>0</v>
      </c>
      <c r="W37" s="23">
        <f>'Sch TOU-PA Cust Fcst'!G36*'Non-Residential TSM UC Adj'!S37</f>
        <v>0</v>
      </c>
      <c r="X37" s="23">
        <f>'Sch TOU-PA Cust Fcst'!G36*'Non-Residential TSM UC Adj'!T37</f>
        <v>0</v>
      </c>
      <c r="Y37" s="45">
        <f>IF(SUM(V37:X37)=0,0,SUM(V37:X37)/'Sch TOU-PA Cust Fcst'!G36)</f>
        <v>0</v>
      </c>
      <c r="Z37" s="23">
        <f t="shared" si="1"/>
        <v>0</v>
      </c>
      <c r="AA37" s="23">
        <f t="shared" si="1"/>
        <v>0</v>
      </c>
      <c r="AB37" s="23">
        <f t="shared" si="1"/>
        <v>0</v>
      </c>
      <c r="AC37" s="45">
        <f>IF(SUM(Z37:AB37)=0,0,SUM(Z37:AB37)/'Sch PA-T-1 Cust Fcst'!H36)</f>
        <v>0</v>
      </c>
    </row>
    <row r="38" spans="1:29" ht="13.5" thickBot="1">
      <c r="A38" s="11"/>
      <c r="B38" s="137"/>
      <c r="C38" s="23"/>
      <c r="D38" s="23"/>
      <c r="E38" s="45"/>
      <c r="F38" s="137"/>
      <c r="G38" s="23"/>
      <c r="H38" s="23"/>
      <c r="I38" s="45"/>
      <c r="J38" s="137"/>
      <c r="K38" s="23"/>
      <c r="L38" s="23"/>
      <c r="M38" s="45"/>
      <c r="N38" s="137"/>
      <c r="O38" s="23"/>
      <c r="P38" s="23"/>
      <c r="Q38" s="45"/>
      <c r="R38" s="137"/>
      <c r="S38" s="23"/>
      <c r="T38" s="23"/>
      <c r="U38" s="45"/>
      <c r="V38" s="23"/>
      <c r="W38" s="23"/>
      <c r="X38" s="23"/>
      <c r="Y38" s="14"/>
      <c r="Z38" s="23"/>
      <c r="AA38" s="23"/>
      <c r="AB38" s="23"/>
      <c r="AC38" s="14"/>
    </row>
    <row r="39" spans="1:29" ht="13.5" thickBot="1">
      <c r="A39" s="280" t="s">
        <v>165</v>
      </c>
      <c r="B39" s="301">
        <f>IF(SUM(B$7:B$37)=0,0,SUM(B$7:B$37)/'Sch TOU-PA Cust Fcst'!$B$38)</f>
        <v>894.02380573575783</v>
      </c>
      <c r="C39" s="300">
        <f>IF(SUM(C$7:C$37)=0,0,SUM(C$7:C$37)/'Sch TOU-PA Cust Fcst'!$B$38)</f>
        <v>141.55004118673082</v>
      </c>
      <c r="D39" s="300">
        <f>IF(SUM(D$7:D$37)=0,0,SUM(D$7:D$37)/'Sch TOU-PA Cust Fcst'!$B$38)</f>
        <v>234.29973156037593</v>
      </c>
      <c r="E39" s="300">
        <f>SUM(B39:D39)</f>
        <v>1269.8735784828646</v>
      </c>
      <c r="F39" s="317">
        <f>IF(SUM(F$7:F$37)=0,0,SUM(F$7:F$37)/'Sch TOU-PA Cust Fcst'!$C$38)</f>
        <v>2528.9859778200671</v>
      </c>
      <c r="G39" s="318">
        <f>IF(SUM(G$7:G$37)=0,0,SUM(G$7:G$37)/'Sch TOU-PA Cust Fcst'!$C$38)</f>
        <v>693.10499355985598</v>
      </c>
      <c r="H39" s="318">
        <f>IF(SUM(H$7:H$37)=0,0,SUM(H$7:H$37)/'Sch TOU-PA Cust Fcst'!$C$38)</f>
        <v>303.14394535262977</v>
      </c>
      <c r="I39" s="318">
        <f>SUM(F39:H39)</f>
        <v>3525.2349167325528</v>
      </c>
      <c r="J39" s="317">
        <f>IF(SUM(J$7:J$37)=0,0,SUM(J$7:J$37)/'Sch TOU-PA Cust Fcst'!$D$38)</f>
        <v>5231.9851734701351</v>
      </c>
      <c r="K39" s="318">
        <f>IF(SUM(K$7:K$37)=0,0,SUM(K$7:K$37)/'Sch TOU-PA Cust Fcst'!$D$38)</f>
        <v>751.63371941239018</v>
      </c>
      <c r="L39" s="318">
        <f>IF(SUM(L$7:L$37)=0,0,SUM(L$7:L$37)/'Sch TOU-PA Cust Fcst'!$D$38)</f>
        <v>301.7634989601417</v>
      </c>
      <c r="M39" s="318">
        <f>SUM(J39:L39)</f>
        <v>6285.3823918426669</v>
      </c>
      <c r="N39" s="317">
        <f>IF(SUM(N$7:N$37)=0,0,SUM(N$7:N$37)/'Sch TOU-PA Cust Fcst'!$E$38)</f>
        <v>5832.7567551910133</v>
      </c>
      <c r="O39" s="318">
        <f>IF(SUM(O$7:O$37)=0,0,SUM(O$7:O$37)/'Sch TOU-PA Cust Fcst'!$E$38)</f>
        <v>988.96930091171077</v>
      </c>
      <c r="P39" s="318">
        <f>IF(SUM(P$7:P$37)=0,0,SUM(P$7:P$37)/'Sch TOU-PA Cust Fcst'!$E$38)</f>
        <v>375.15364924464478</v>
      </c>
      <c r="Q39" s="318">
        <f>SUM(N39:P39)</f>
        <v>7196.8797053473691</v>
      </c>
      <c r="R39" s="317">
        <f>IF(SUM(R$7:R$37)=0,0,SUM(R$7:R$37)/'Sch TOU-PA Cust Fcst'!$F$38)</f>
        <v>2655.9967172159986</v>
      </c>
      <c r="S39" s="318">
        <f>IF(SUM(S$7:S$37)=0,0,SUM(S$7:S$37)/'Sch TOU-PA Cust Fcst'!$F$38)</f>
        <v>504.67304910696174</v>
      </c>
      <c r="T39" s="318">
        <f>IF(SUM(T$7:T$37)=0,0,SUM(T$7:T$37)/'Sch TOU-PA Cust Fcst'!$F$38)</f>
        <v>288.51747465075363</v>
      </c>
      <c r="U39" s="318">
        <f>SUM(R39:T39)</f>
        <v>3449.1872409737139</v>
      </c>
      <c r="V39" s="317">
        <f>IF(SUM(V$7:V$37)=0,0,SUM(V$7:V$37)/'Sch TOU-PA Cust Fcst'!$G$38)</f>
        <v>0</v>
      </c>
      <c r="W39" s="318">
        <f>IF(SUM(W$7:W$37)=0,0,SUM(W$7:W$37)/'Sch TOU-PA Cust Fcst'!$G$38)</f>
        <v>4058.5275674737627</v>
      </c>
      <c r="X39" s="318">
        <f>IF(SUM(X$7:X$37)=0,0,SUM(X$7:X$37)/'Sch TOU-PA Cust Fcst'!$G$38)</f>
        <v>967.82163835260417</v>
      </c>
      <c r="Y39" s="318">
        <f>SUM(V39:X39)</f>
        <v>5026.3492058263673</v>
      </c>
      <c r="Z39" s="317">
        <f>IF(SUM(Z$7:Z$37)=0,0,SUM(Z$7:Z$37)/'Sch TOU-PA Cust Fcst'!$H$38)</f>
        <v>2652.1751392056162</v>
      </c>
      <c r="AA39" s="318">
        <f>IF(SUM(AA$7:AA$37)=0,0,SUM(AA$7:AA$37)/'Sch TOU-PA Cust Fcst'!$H$38)</f>
        <v>509.78650884561898</v>
      </c>
      <c r="AB39" s="318">
        <f>IF(SUM(AB$7:AB$37)=0,0,SUM(AB$7:AB$37)/'Sch TOU-PA Cust Fcst'!$H$38)</f>
        <v>289.49489071363405</v>
      </c>
      <c r="AC39" s="319">
        <f>SUM(Z39:AB39)</f>
        <v>3451.456538764869</v>
      </c>
    </row>
    <row r="40" spans="1:29">
      <c r="A40" s="149" t="s">
        <v>166</v>
      </c>
      <c r="B40" s="301">
        <f>IF(SUM(B$7:B$10)=0,0,SUM(B$7:B$10)/'Sch TOU-PA Cust Fcst'!$B$39)</f>
        <v>708.14348212449556</v>
      </c>
      <c r="C40" s="300">
        <f>IF(SUM(C$7:C$10)=0,0,SUM(C$7:C$10)/'Sch TOU-PA Cust Fcst'!$B$39)</f>
        <v>124.03661276502993</v>
      </c>
      <c r="D40" s="300">
        <f>IF(SUM(D$7:D$10)=0,0,SUM(D$7:D$10)/'Sch TOU-PA Cust Fcst'!$B$39)</f>
        <v>234.2997315603759</v>
      </c>
      <c r="E40" s="300">
        <f>SUM(B40:D40)</f>
        <v>1066.4798264499013</v>
      </c>
      <c r="F40" s="301">
        <f>IF(SUM(F$7:F$10)=0,0,SUM(F$7:F$10)/'Sch TOU-PA Cust Fcst'!$C$39)</f>
        <v>1605.5781580685391</v>
      </c>
      <c r="G40" s="300">
        <f>IF(SUM(G$7:G$10)=0,0,SUM(G$7:G$10)/'Sch TOU-PA Cust Fcst'!$C$39)</f>
        <v>655.6325787032456</v>
      </c>
      <c r="H40" s="300">
        <f>IF(SUM(H$7:H$10)=0,0,SUM(H$7:H$10)/'Sch TOU-PA Cust Fcst'!$C$39)</f>
        <v>301.7634989601417</v>
      </c>
      <c r="I40" s="300">
        <f>SUM(F40:H40)</f>
        <v>2562.974235731926</v>
      </c>
      <c r="J40" s="301">
        <f>IF(SUM(J$7:J$10)=0,0,SUM(J$7:J$10)/'Sch TOU-PA Cust Fcst'!$D$39)</f>
        <v>2339.101011325869</v>
      </c>
      <c r="K40" s="300">
        <f>IF(SUM(K$7:K$10)=0,0,SUM(K$7:K$10)/'Sch TOU-PA Cust Fcst'!$D$39)</f>
        <v>667.01443830797166</v>
      </c>
      <c r="L40" s="300">
        <f>IF(SUM(L$7:L$10)=0,0,SUM(L$7:L$10)/'Sch TOU-PA Cust Fcst'!$D$39)</f>
        <v>301.76349896014176</v>
      </c>
      <c r="M40" s="300">
        <f>SUM(J40:L40)</f>
        <v>3307.8789485939824</v>
      </c>
      <c r="N40" s="301">
        <f>IF(SUM(N$7:N$10)=0,0,SUM(N$7:N$10)/'Sch TOU-PA Cust Fcst'!$E$39)</f>
        <v>2482.1631057073428</v>
      </c>
      <c r="O40" s="300">
        <f>IF(SUM(O$7:O$10)=0,0,SUM(O$7:O$10)/'Sch TOU-PA Cust Fcst'!$E$39)</f>
        <v>669.87654910345975</v>
      </c>
      <c r="P40" s="300">
        <f>IF(SUM(P$7:P$10)=0,0,SUM(P$7:P$10)/'Sch TOU-PA Cust Fcst'!$E$39)</f>
        <v>301.7634989601417</v>
      </c>
      <c r="Q40" s="300">
        <f>SUM(N40:P40)</f>
        <v>3453.8031537709439</v>
      </c>
      <c r="R40" s="301">
        <f>IF(SUM(R$7:R$10)=0,0,SUM(R$7:R$10)/'Sch TOU-PA Cust Fcst'!$F$39)</f>
        <v>1239.1862176113509</v>
      </c>
      <c r="S40" s="300">
        <f>IF(SUM(S$7:S$10)=0,0,SUM(S$7:S$10)/'Sch TOU-PA Cust Fcst'!$F$39)</f>
        <v>355.72052543227289</v>
      </c>
      <c r="T40" s="300">
        <f>IF(SUM(T$7:T$10)=0,0,SUM(T$7:T$10)/'Sch TOU-PA Cust Fcst'!$F$39)</f>
        <v>263.40698492932847</v>
      </c>
      <c r="U40" s="300">
        <f>SUM(R40:T40)</f>
        <v>1858.3137279729524</v>
      </c>
      <c r="V40" s="301">
        <f>IF(SUM(V$7:V$10)=0,0,SUM(V$7:V$10)/'Sch TOU-PA Cust Fcst'!$G$39)</f>
        <v>0</v>
      </c>
      <c r="W40" s="300">
        <f>IF(SUM(W$7:W$10)=0,0,SUM(W$7:W$10)/'Sch TOU-PA Cust Fcst'!$G$39)</f>
        <v>0</v>
      </c>
      <c r="X40" s="300">
        <f>IF(SUM(X$7:X$10)=0,0,SUM(X$7:X$10)/'Sch TOU-PA Cust Fcst'!$G$39)</f>
        <v>0</v>
      </c>
      <c r="Y40" s="300">
        <f>SUM(V40:X40)</f>
        <v>0</v>
      </c>
      <c r="Z40" s="301">
        <f>IF(SUM(Z$7:Z$10)=0,0,SUM(Z$7:Z$10)/'Sch TOU-PA Cust Fcst'!$H$39)</f>
        <v>1239.1862176113509</v>
      </c>
      <c r="AA40" s="300">
        <f>IF(SUM(AA$7:AA$10)=0,0,SUM(AA$7:AA$10)/'Sch TOU-PA Cust Fcst'!$H$39)</f>
        <v>355.72052543227289</v>
      </c>
      <c r="AB40" s="300">
        <f>IF(SUM(AB$7:AB$10)=0,0,SUM(AB$7:AB$10)/'Sch TOU-PA Cust Fcst'!$H$39)</f>
        <v>263.40698492932847</v>
      </c>
      <c r="AC40" s="305">
        <f>SUM(Z40:AB40)</f>
        <v>1858.3137279729524</v>
      </c>
    </row>
    <row r="41" spans="1:29" ht="13.5" thickBot="1">
      <c r="A41" s="323" t="s">
        <v>266</v>
      </c>
      <c r="B41" s="244">
        <f>IF(SUM(B$11:B$37)=0,0,SUM(B$11:B$37)/'Sch TOU-PA Cust Fcst'!$B$40)</f>
        <v>3953.3041318377814</v>
      </c>
      <c r="C41" s="240">
        <f>IF(SUM(C$11:C$37)=0,0,SUM(C$11:C$37)/'Sch TOU-PA Cust Fcst'!$B$40)</f>
        <v>429.79188396055764</v>
      </c>
      <c r="D41" s="240">
        <f>IF(SUM(D$11:D$37)=0,0,SUM(D$11:D$37)/'Sch TOU-PA Cust Fcst'!$B$40)</f>
        <v>234.29973156037588</v>
      </c>
      <c r="E41" s="240">
        <f>SUM(B41:D41)</f>
        <v>4617.3957473587152</v>
      </c>
      <c r="F41" s="244">
        <f>IF(SUM(F$11:F$37)=0,0,SUM(F$11:F$37)/'Sch TOU-PA Cust Fcst'!$C$40)</f>
        <v>10695.02621514081</v>
      </c>
      <c r="G41" s="240">
        <f>IF(SUM(G$11:G$37)=0,0,SUM(G$11:G$37)/'Sch TOU-PA Cust Fcst'!$C$40)</f>
        <v>1024.4875538580727</v>
      </c>
      <c r="H41" s="240">
        <f>IF(SUM(H$11:H$37)=0,0,SUM(H$11:H$37)/'Sch TOU-PA Cust Fcst'!$C$40)</f>
        <v>315.35174838981288</v>
      </c>
      <c r="I41" s="240">
        <f>SUM(F41:H41)</f>
        <v>12034.865517388695</v>
      </c>
      <c r="J41" s="244">
        <f>IF(SUM(J$11:J$37)=0,0,SUM(J$11:J$37)/'Sch TOU-PA Cust Fcst'!$D$40)</f>
        <v>12149.751648162943</v>
      </c>
      <c r="K41" s="240">
        <f>IF(SUM(K$11:K$37)=0,0,SUM(K$11:K$37)/'Sch TOU-PA Cust Fcst'!$D$40)</f>
        <v>953.98417422730404</v>
      </c>
      <c r="L41" s="240">
        <f>IF(SUM(L$11:L$37)=0,0,SUM(L$11:L$37)/'Sch TOU-PA Cust Fcst'!$D$40)</f>
        <v>301.76349896014182</v>
      </c>
      <c r="M41" s="240">
        <f>SUM(J41:L41)</f>
        <v>13405.499321350388</v>
      </c>
      <c r="N41" s="244">
        <f>IF(SUM(N$11:N$37)=0,0,SUM(N$11:N$37)/'Sch TOU-PA Cust Fcst'!$E$40)</f>
        <v>8642.047954144602</v>
      </c>
      <c r="O41" s="240">
        <f>IF(SUM(O$11:O$37)=0,0,SUM(O$11:O$37)/'Sch TOU-PA Cust Fcst'!$E$40)</f>
        <v>1256.5112809554387</v>
      </c>
      <c r="P41" s="240">
        <f>IF(SUM(P$11:P$37)=0,0,SUM(P$11:P$37)/'Sch TOU-PA Cust Fcst'!$E$40)</f>
        <v>436.68731308236715</v>
      </c>
      <c r="Q41" s="240">
        <f>SUM(N41:P41)</f>
        <v>10335.246548182409</v>
      </c>
      <c r="R41" s="244">
        <f>IF(SUM(R$11:R$37)=0,0,SUM(R$11:R$37)/'Sch TOU-PA Cust Fcst'!$F$40)</f>
        <v>8353.9943704740563</v>
      </c>
      <c r="S41" s="240">
        <f>IF(SUM(S$11:S$37)=0,0,SUM(S$11:S$37)/'Sch TOU-PA Cust Fcst'!$F$40)</f>
        <v>1103.7165560417818</v>
      </c>
      <c r="T41" s="240">
        <f>IF(SUM(T$11:T$37)=0,0,SUM(T$11:T$37)/'Sch TOU-PA Cust Fcst'!$F$40)</f>
        <v>389.50452376195568</v>
      </c>
      <c r="U41" s="240">
        <f>SUM(R41:T41)</f>
        <v>9847.2154502777939</v>
      </c>
      <c r="V41" s="244">
        <f>IF(SUM(V$11:V$37)=0,0,SUM(V$11:V$37)/'Sch TOU-PA Cust Fcst'!$G$40)</f>
        <v>0</v>
      </c>
      <c r="W41" s="240">
        <f>IF(SUM(W$11:W$37)=0,0,SUM(W$11:W$37)/'Sch TOU-PA Cust Fcst'!$G$40)</f>
        <v>4058.5275674737627</v>
      </c>
      <c r="X41" s="240">
        <f>IF(SUM(X$11:X$37)=0,0,SUM(X$11:X$37)/'Sch TOU-PA Cust Fcst'!$G$40)</f>
        <v>967.82163835260417</v>
      </c>
      <c r="Y41" s="240">
        <f>SUM(V41:X41)</f>
        <v>5026.3492058263673</v>
      </c>
      <c r="Z41" s="244">
        <f>IF(SUM(Z$11:Z$37)=0,0,SUM(Z$11:Z$37)/'Sch TOU-PA Cust Fcst'!$H$40)</f>
        <v>8293.9800430999603</v>
      </c>
      <c r="AA41" s="240">
        <f>IF(SUM(AA$11:AA$37)=0,0,SUM(AA$11:AA$37)/'Sch TOU-PA Cust Fcst'!$H$40)</f>
        <v>1124.9436466411496</v>
      </c>
      <c r="AB41" s="240">
        <f>IF(SUM(AB$11:AB$37)=0,0,SUM(AB$11:AB$37)/'Sch TOU-PA Cust Fcst'!$H$40)</f>
        <v>393.65910073458957</v>
      </c>
      <c r="AC41" s="249">
        <f>SUM(Z41:AB41)</f>
        <v>9812.5827904756989</v>
      </c>
    </row>
    <row r="42" spans="1:29">
      <c r="A42" t="s">
        <v>3</v>
      </c>
      <c r="E42" s="18"/>
      <c r="I42" s="18"/>
      <c r="M42" s="18"/>
      <c r="Q42" s="18"/>
      <c r="U42" s="18"/>
      <c r="Y42" s="18"/>
      <c r="AC42" s="18"/>
    </row>
    <row r="43" spans="1:29">
      <c r="A43" s="340" t="s">
        <v>102</v>
      </c>
      <c r="B43" s="18"/>
      <c r="E43" s="361">
        <f>IF(SUM(B7:D37)=0,0,SUM(B7:D37)/'Sch TOU-PA Cust Fcst'!B38)-E39</f>
        <v>0</v>
      </c>
      <c r="F43" s="18"/>
      <c r="I43" s="361">
        <f>IF(SUM(F7:H37)=0,0,SUM(F7:H37)/'Sch TOU-PA Cust Fcst'!C38)-I39</f>
        <v>0</v>
      </c>
      <c r="J43" s="18"/>
      <c r="M43" s="361">
        <f>IF(SUM(J7:L37)=0,0,SUM(J7:L37)/'Sch TOU-PA Cust Fcst'!D38)-M39</f>
        <v>0</v>
      </c>
      <c r="N43" s="18"/>
      <c r="Q43" s="361">
        <f>IF(SUM(N7:P37)=0,0,SUM(N7:P37)/'Sch TOU-PA Cust Fcst'!E38)-Q39</f>
        <v>0</v>
      </c>
      <c r="R43" s="18"/>
      <c r="U43" s="361">
        <f>IF(SUM(R7:T37)=0,0,SUM(R7:T37)/'Sch TOU-PA Cust Fcst'!F38)-U39</f>
        <v>0</v>
      </c>
      <c r="V43" s="18"/>
      <c r="Y43" s="361">
        <f>IF(SUM(V7:X37)=0,0,SUM(V7:X37)/'Sch TOU-PA Cust Fcst'!G38)-Y39</f>
        <v>0</v>
      </c>
      <c r="Z43" s="18"/>
      <c r="AC43" s="361">
        <f>IF(SUM(Z7:AB37)=0,0,SUM(Z7:AB37)/'Sch TOU-PA Cust Fcst'!H38)-AC39</f>
        <v>0</v>
      </c>
    </row>
    <row r="44" spans="1:29">
      <c r="B44" s="18"/>
      <c r="E44" s="361">
        <f>IF(SUM(B7:D10)=0,0,SUM(B7:D10)/'Sch TOU-PA Cust Fcst'!B39)-E40</f>
        <v>0</v>
      </c>
      <c r="F44" s="18"/>
      <c r="I44" s="361">
        <f>IF(SUM(F7:H10)=0,0,SUM(F7:H10)/'Sch TOU-PA Cust Fcst'!C39)-I40</f>
        <v>0</v>
      </c>
      <c r="J44" s="18"/>
      <c r="M44" s="361">
        <f>IF(SUM(J7:L10)=0,0,SUM(J7:L10)/'Sch TOU-PA Cust Fcst'!D39)-M40</f>
        <v>0</v>
      </c>
      <c r="N44" s="18"/>
      <c r="Q44" s="361">
        <f>IF(SUM(N7:P10)=0,0,SUM(N7:P10)/'Sch TOU-PA Cust Fcst'!E39)-Q40</f>
        <v>0</v>
      </c>
      <c r="R44" s="18"/>
      <c r="U44" s="361">
        <f>IF(SUM(R7:T10)=0,0,SUM(R7:T10)/'Sch TOU-PA Cust Fcst'!F39)-U40</f>
        <v>0</v>
      </c>
      <c r="V44" s="18"/>
      <c r="Y44" s="661">
        <f>IF(SUM(V7:X10)=0,0,SUM(V7:X10)/'Sch TOU-PA Cust Fcst'!G39)-Y40</f>
        <v>0</v>
      </c>
      <c r="Z44" s="18"/>
      <c r="AC44" s="361">
        <f>IF(SUM(Z7:AB10)=0,0,SUM(Z7:AB10)/'Sch TOU-PA Cust Fcst'!H39)-AC40</f>
        <v>0</v>
      </c>
    </row>
    <row r="45" spans="1:29">
      <c r="E45" s="361">
        <f>IF(SUM(B11:D37)=0,0,SUM(B11:D37)/'Sch TOU-PA Cust Fcst'!B40)-E41</f>
        <v>0</v>
      </c>
      <c r="I45" s="361">
        <f>IF(SUM(F11:H37)=0,0,SUM(F11:H37)/'Sch TOU-PA Cust Fcst'!C40)-I41</f>
        <v>0</v>
      </c>
      <c r="M45" s="361">
        <f>IF(SUM(J11:L37)=0,0,SUM(J11:L37)/'Sch TOU-PA Cust Fcst'!D40)-M41</f>
        <v>0</v>
      </c>
      <c r="Q45" s="361">
        <f>IF(SUM(N11:P37)=0,0,SUM(N11:P37)/'Sch TOU-PA Cust Fcst'!E40)-Q41</f>
        <v>0</v>
      </c>
      <c r="U45" s="361">
        <f>IF(SUM(R11:T37)=0,0,SUM(R11:T37)/'Sch TOU-PA Cust Fcst'!F40)-U41</f>
        <v>0</v>
      </c>
      <c r="Y45" s="361">
        <f>IF(SUM(V11:X37)=0,0,SUM(V11:X37)/'Sch TOU-PA Cust Fcst'!G40)-Y41</f>
        <v>0</v>
      </c>
      <c r="AC45" s="361">
        <f>IF(SUM(Z11:AB37)=0,0,SUM(Z11:AB37)/'Sch TOU-PA Cust Fcst'!H40)-AC41</f>
        <v>0</v>
      </c>
    </row>
    <row r="50" spans="1:1">
      <c r="A50" s="19"/>
    </row>
    <row r="62" spans="1:1">
      <c r="A62" s="19"/>
    </row>
  </sheetData>
  <mergeCells count="11">
    <mergeCell ref="Z3:AC3"/>
    <mergeCell ref="A1:Y1"/>
    <mergeCell ref="B2:U2"/>
    <mergeCell ref="V2:Y2"/>
    <mergeCell ref="Z2:AC2"/>
    <mergeCell ref="B3:E3"/>
    <mergeCell ref="F3:I3"/>
    <mergeCell ref="J3:M3"/>
    <mergeCell ref="N3:Q3"/>
    <mergeCell ref="R3:U3"/>
    <mergeCell ref="V3:Y3"/>
  </mergeCells>
  <printOptions horizontalCentered="1"/>
  <pageMargins left="0.75" right="0.75" top="1" bottom="1" header="0.5" footer="0.5"/>
  <pageSetup scale="47" orientation="portrait" r:id="rId1"/>
  <headerFooter alignWithMargins="0">
    <oddFooter>&amp;L&amp;F
&amp;A&amp;R&amp;P of &amp;N</oddFooter>
  </headerFooter>
  <colBreaks count="1" manualBreakCount="1">
    <brk id="13" max="40" man="1"/>
  </colBreaks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sheetPr codeName="Sheet82">
    <tabColor rgb="FF0070C0"/>
    <pageSetUpPr fitToPage="1"/>
  </sheetPr>
  <dimension ref="A1:J56"/>
  <sheetViews>
    <sheetView zoomScaleNormal="100" workbookViewId="0">
      <selection activeCell="A24" sqref="A24:A26"/>
    </sheetView>
  </sheetViews>
  <sheetFormatPr defaultRowHeight="12.75"/>
  <cols>
    <col min="1" max="1" width="40.85546875" customWidth="1"/>
    <col min="2" max="2" width="10.28515625" customWidth="1"/>
    <col min="3" max="4" width="10.28515625" style="12" customWidth="1"/>
    <col min="5" max="5" width="10.85546875" style="12" customWidth="1"/>
    <col min="6" max="6" width="9.28515625" style="12" customWidth="1"/>
    <col min="7" max="7" width="10.28515625" style="12" customWidth="1"/>
    <col min="8" max="10" width="10.28515625" customWidth="1"/>
  </cols>
  <sheetData>
    <row r="1" spans="1:10" ht="18.75" thickBot="1">
      <c r="A1" s="826" t="s">
        <v>396</v>
      </c>
      <c r="B1" s="826"/>
      <c r="C1" s="826"/>
      <c r="D1" s="826"/>
      <c r="E1" s="826"/>
      <c r="F1" s="826"/>
      <c r="G1" s="826"/>
      <c r="H1" s="826"/>
      <c r="I1" s="826"/>
      <c r="J1" s="826"/>
    </row>
    <row r="2" spans="1:10" ht="13.5" thickBot="1">
      <c r="A2" s="483"/>
      <c r="B2" s="827" t="s">
        <v>0</v>
      </c>
      <c r="C2" s="828"/>
      <c r="D2" s="829"/>
      <c r="E2" s="828" t="s">
        <v>1</v>
      </c>
      <c r="F2" s="828"/>
      <c r="G2" s="829"/>
      <c r="H2" s="828" t="s">
        <v>397</v>
      </c>
      <c r="I2" s="828"/>
      <c r="J2" s="829"/>
    </row>
    <row r="3" spans="1:10" ht="13.5" thickBot="1">
      <c r="A3" s="649" t="s">
        <v>47</v>
      </c>
      <c r="B3" s="643" t="s">
        <v>243</v>
      </c>
      <c r="C3" s="644" t="s">
        <v>174</v>
      </c>
      <c r="D3" s="645" t="s">
        <v>167</v>
      </c>
      <c r="E3" s="644" t="s">
        <v>243</v>
      </c>
      <c r="F3" s="644" t="s">
        <v>174</v>
      </c>
      <c r="G3" s="645" t="s">
        <v>168</v>
      </c>
      <c r="H3" s="644" t="s">
        <v>243</v>
      </c>
      <c r="I3" s="644" t="s">
        <v>174</v>
      </c>
      <c r="J3" s="645" t="s">
        <v>2</v>
      </c>
    </row>
    <row r="4" spans="1:10">
      <c r="A4" s="39"/>
      <c r="B4" s="5"/>
      <c r="C4" s="6"/>
      <c r="D4" s="6"/>
      <c r="E4" s="5"/>
      <c r="F4" s="6"/>
      <c r="G4" s="7"/>
      <c r="H4" s="5"/>
      <c r="I4" s="6"/>
      <c r="J4" s="7"/>
    </row>
    <row r="5" spans="1:10">
      <c r="A5" s="40"/>
      <c r="B5" s="132"/>
      <c r="C5" s="8"/>
      <c r="D5" s="8"/>
      <c r="E5" s="132"/>
      <c r="F5" s="8"/>
      <c r="G5" s="9"/>
      <c r="H5" s="132"/>
      <c r="I5" s="8"/>
      <c r="J5" s="9"/>
    </row>
    <row r="6" spans="1:10">
      <c r="A6" s="40" t="s">
        <v>49</v>
      </c>
      <c r="B6" s="142"/>
      <c r="C6" s="34"/>
      <c r="D6" s="34"/>
      <c r="E6" s="142"/>
      <c r="F6" s="34"/>
      <c r="G6" s="44"/>
      <c r="H6" s="142"/>
      <c r="I6" s="34"/>
      <c r="J6" s="44"/>
    </row>
    <row r="7" spans="1:10">
      <c r="A7" s="41"/>
      <c r="B7" s="142"/>
      <c r="C7" s="34"/>
      <c r="D7" s="34"/>
      <c r="E7" s="142"/>
      <c r="F7" s="34"/>
      <c r="G7" s="44"/>
      <c r="H7" s="142"/>
      <c r="I7" s="34"/>
      <c r="J7" s="44"/>
    </row>
    <row r="8" spans="1:10">
      <c r="A8" s="40" t="s">
        <v>53</v>
      </c>
      <c r="B8" s="143">
        <f>'Sch TOU-PA TSM'!R40</f>
        <v>1239.1862176113509</v>
      </c>
      <c r="C8" s="163">
        <f>'Sch TOU-PA TSM'!R41</f>
        <v>8353.9943704740563</v>
      </c>
      <c r="D8" s="34">
        <f>'Sch TOU-PA TSM'!R39</f>
        <v>2655.9967172159986</v>
      </c>
      <c r="E8" s="143"/>
      <c r="F8" s="163">
        <f>'Sch TOU-PA TSM'!V41</f>
        <v>0</v>
      </c>
      <c r="G8" s="49">
        <f>'Sch TOU-PA TSM'!V39</f>
        <v>0</v>
      </c>
      <c r="H8" s="143">
        <f>'Sch TOU-PA TSM'!Z40</f>
        <v>1239.1862176113509</v>
      </c>
      <c r="I8" s="163">
        <f>'Sch TOU-PA TSM'!Z41</f>
        <v>8293.9800430999603</v>
      </c>
      <c r="J8" s="49">
        <f>'Sch TOU-PA TSM'!Z39</f>
        <v>2652.1751392056162</v>
      </c>
    </row>
    <row r="9" spans="1:10">
      <c r="A9" s="40" t="s">
        <v>51</v>
      </c>
      <c r="B9" s="143">
        <f>'Sch TOU-PA TSM'!S40</f>
        <v>355.72052543227289</v>
      </c>
      <c r="C9" s="163">
        <f>'Sch TOU-PA TSM'!S41</f>
        <v>1103.7165560417818</v>
      </c>
      <c r="D9" s="34">
        <f>'Sch TOU-PA TSM'!S39</f>
        <v>504.67304910696174</v>
      </c>
      <c r="E9" s="143"/>
      <c r="F9" s="163">
        <f>'Sch TOU-PA TSM'!W41</f>
        <v>4058.5275674737627</v>
      </c>
      <c r="G9" s="49">
        <f>'Sch TOU-PA TSM'!W39</f>
        <v>4058.5275674737627</v>
      </c>
      <c r="H9" s="143">
        <f>'Sch TOU-PA TSM'!AA40</f>
        <v>355.72052543227289</v>
      </c>
      <c r="I9" s="163">
        <f>'Sch TOU-PA TSM'!AA41</f>
        <v>1124.9436466411496</v>
      </c>
      <c r="J9" s="49">
        <f>'Sch TOU-PA TSM'!AA39</f>
        <v>509.78650884561898</v>
      </c>
    </row>
    <row r="10" spans="1:10">
      <c r="A10" s="40" t="s">
        <v>52</v>
      </c>
      <c r="B10" s="143">
        <f>'Sch TOU-PA TSM'!T40</f>
        <v>263.40698492932847</v>
      </c>
      <c r="C10" s="163">
        <f>'Sch TOU-PA TSM'!T41</f>
        <v>389.50452376195568</v>
      </c>
      <c r="D10" s="34">
        <f>'Sch TOU-PA TSM'!T39</f>
        <v>288.51747465075363</v>
      </c>
      <c r="E10" s="143"/>
      <c r="F10" s="163">
        <f>'Sch TOU-PA TSM'!X41</f>
        <v>967.82163835260417</v>
      </c>
      <c r="G10" s="49">
        <f>'Sch TOU-PA TSM'!X39</f>
        <v>967.82163835260417</v>
      </c>
      <c r="H10" s="143">
        <f>'Sch TOU-PA TSM'!AB40</f>
        <v>263.40698492932847</v>
      </c>
      <c r="I10" s="163">
        <f>'Sch TOU-PA TSM'!AB41</f>
        <v>393.65910073458957</v>
      </c>
      <c r="J10" s="49">
        <f>'Sch TOU-PA TSM'!AB39</f>
        <v>289.49489071363405</v>
      </c>
    </row>
    <row r="11" spans="1:10">
      <c r="A11" s="42"/>
      <c r="B11" s="142"/>
      <c r="C11" s="34"/>
      <c r="D11" s="34"/>
      <c r="E11" s="142"/>
      <c r="F11" s="34"/>
      <c r="G11" s="44"/>
      <c r="H11" s="142"/>
      <c r="I11" s="34"/>
      <c r="J11" s="44"/>
    </row>
    <row r="12" spans="1:10">
      <c r="A12" s="40" t="s">
        <v>35</v>
      </c>
      <c r="B12" s="142">
        <f t="shared" ref="B12:J12" si="0">SUM(B8:B10)</f>
        <v>1858.3137279729524</v>
      </c>
      <c r="C12" s="34">
        <f t="shared" si="0"/>
        <v>9847.2154502777939</v>
      </c>
      <c r="D12" s="34">
        <f t="shared" si="0"/>
        <v>3449.1872409737139</v>
      </c>
      <c r="E12" s="142"/>
      <c r="F12" s="34">
        <f t="shared" si="0"/>
        <v>5026.3492058263673</v>
      </c>
      <c r="G12" s="44">
        <f t="shared" si="0"/>
        <v>5026.3492058263673</v>
      </c>
      <c r="H12" s="142">
        <f t="shared" si="0"/>
        <v>1858.3137279729524</v>
      </c>
      <c r="I12" s="34">
        <f t="shared" si="0"/>
        <v>9812.5827904756989</v>
      </c>
      <c r="J12" s="44">
        <f t="shared" si="0"/>
        <v>3451.456538764869</v>
      </c>
    </row>
    <row r="13" spans="1:10">
      <c r="A13" s="42"/>
      <c r="B13" s="142"/>
      <c r="C13" s="34"/>
      <c r="D13" s="34"/>
      <c r="E13" s="142"/>
      <c r="F13" s="34"/>
      <c r="G13" s="44"/>
      <c r="H13" s="142"/>
      <c r="I13" s="34"/>
      <c r="J13" s="44"/>
    </row>
    <row r="14" spans="1:10">
      <c r="A14" s="40" t="s">
        <v>65</v>
      </c>
      <c r="B14" s="142"/>
      <c r="C14" s="34"/>
      <c r="D14" s="34"/>
      <c r="E14" s="142"/>
      <c r="F14" s="34"/>
      <c r="G14" s="44"/>
      <c r="H14" s="142"/>
      <c r="I14" s="34"/>
      <c r="J14" s="44"/>
    </row>
    <row r="15" spans="1:10">
      <c r="A15" s="53">
        <f>Inputs!C3</f>
        <v>2.7723662892949787E-2</v>
      </c>
      <c r="B15" s="142"/>
      <c r="C15" s="34"/>
      <c r="D15" s="34"/>
      <c r="E15" s="142"/>
      <c r="F15" s="34"/>
      <c r="G15" s="44"/>
      <c r="H15" s="142"/>
      <c r="I15" s="34"/>
      <c r="J15" s="44"/>
    </row>
    <row r="16" spans="1:10">
      <c r="A16" s="40" t="s">
        <v>64</v>
      </c>
      <c r="B16" s="142"/>
      <c r="C16" s="34"/>
      <c r="D16" s="34"/>
      <c r="E16" s="142"/>
      <c r="F16" s="34"/>
      <c r="G16" s="44"/>
      <c r="H16" s="142"/>
      <c r="I16" s="34"/>
      <c r="J16" s="44"/>
    </row>
    <row r="17" spans="1:10">
      <c r="A17" s="53">
        <f>Inputs!C4</f>
        <v>1.5023E-2</v>
      </c>
      <c r="B17" s="142"/>
      <c r="C17" s="34"/>
      <c r="D17" s="34"/>
      <c r="E17" s="142"/>
      <c r="F17" s="34"/>
      <c r="G17" s="44"/>
      <c r="H17" s="142"/>
      <c r="I17" s="34"/>
      <c r="J17" s="44"/>
    </row>
    <row r="18" spans="1:10">
      <c r="A18" s="122" t="s">
        <v>111</v>
      </c>
      <c r="B18" s="142">
        <f t="shared" ref="B18:J20" si="1">(B8*(1+$A$15)*(1+$A$17))</f>
        <v>1292.6734049915146</v>
      </c>
      <c r="C18" s="34">
        <f t="shared" si="1"/>
        <v>8714.5791283708058</v>
      </c>
      <c r="D18" s="34">
        <f t="shared" si="1"/>
        <v>2770.6379164771311</v>
      </c>
      <c r="E18" s="142"/>
      <c r="F18" s="34">
        <f t="shared" si="1"/>
        <v>0</v>
      </c>
      <c r="G18" s="44">
        <f t="shared" si="1"/>
        <v>0</v>
      </c>
      <c r="H18" s="142">
        <f t="shared" si="1"/>
        <v>1292.6734049915146</v>
      </c>
      <c r="I18" s="34">
        <f t="shared" si="1"/>
        <v>8651.9743932531983</v>
      </c>
      <c r="J18" s="44">
        <f t="shared" si="1"/>
        <v>2766.6513871009051</v>
      </c>
    </row>
    <row r="19" spans="1:10">
      <c r="A19" s="122" t="s">
        <v>51</v>
      </c>
      <c r="B19" s="142">
        <f t="shared" si="1"/>
        <v>371.07454577914342</v>
      </c>
      <c r="C19" s="34">
        <f t="shared" si="1"/>
        <v>1151.3564453567153</v>
      </c>
      <c r="D19" s="34">
        <f t="shared" si="1"/>
        <v>526.45633039242932</v>
      </c>
      <c r="E19" s="142"/>
      <c r="F19" s="34">
        <f t="shared" si="1"/>
        <v>4233.7064238908961</v>
      </c>
      <c r="G19" s="44">
        <f t="shared" si="1"/>
        <v>4233.7064238908961</v>
      </c>
      <c r="H19" s="142">
        <f t="shared" si="1"/>
        <v>371.07454577914342</v>
      </c>
      <c r="I19" s="34">
        <f t="shared" si="1"/>
        <v>1173.4997641680241</v>
      </c>
      <c r="J19" s="44">
        <f t="shared" si="1"/>
        <v>531.79050318882992</v>
      </c>
    </row>
    <row r="20" spans="1:10">
      <c r="A20" s="122" t="s">
        <v>52</v>
      </c>
      <c r="B20" s="142">
        <f t="shared" si="1"/>
        <v>274.77646157450664</v>
      </c>
      <c r="C20" s="34">
        <f t="shared" si="1"/>
        <v>406.31676808148637</v>
      </c>
      <c r="D20" s="34">
        <f t="shared" si="1"/>
        <v>300.97079926797147</v>
      </c>
      <c r="E20" s="142"/>
      <c r="F20" s="34">
        <f t="shared" si="1"/>
        <v>1009.5958742062976</v>
      </c>
      <c r="G20" s="44">
        <f t="shared" si="1"/>
        <v>1009.5958742062976</v>
      </c>
      <c r="H20" s="142">
        <f t="shared" si="1"/>
        <v>274.77646157450664</v>
      </c>
      <c r="I20" s="34">
        <f t="shared" si="1"/>
        <v>410.65066970594614</v>
      </c>
      <c r="J20" s="44">
        <f t="shared" si="1"/>
        <v>301.99040369234325</v>
      </c>
    </row>
    <row r="21" spans="1:10">
      <c r="A21" s="40"/>
      <c r="B21" s="147"/>
      <c r="C21" s="97"/>
      <c r="D21" s="97"/>
      <c r="E21" s="147"/>
      <c r="F21" s="97"/>
      <c r="G21" s="99"/>
      <c r="H21" s="147"/>
      <c r="I21" s="97"/>
      <c r="J21" s="99"/>
    </row>
    <row r="22" spans="1:10">
      <c r="A22" s="40" t="s">
        <v>35</v>
      </c>
      <c r="B22" s="147">
        <f t="shared" ref="B22:J22" si="2">B18+B19+B20</f>
        <v>1938.5244123451646</v>
      </c>
      <c r="C22" s="97">
        <f t="shared" si="2"/>
        <v>10272.252341809008</v>
      </c>
      <c r="D22" s="97">
        <f t="shared" si="2"/>
        <v>3598.0650461375317</v>
      </c>
      <c r="E22" s="147"/>
      <c r="F22" s="97">
        <f t="shared" si="2"/>
        <v>5243.3022980971937</v>
      </c>
      <c r="G22" s="99">
        <f t="shared" si="2"/>
        <v>5243.3022980971937</v>
      </c>
      <c r="H22" s="147">
        <f t="shared" si="2"/>
        <v>1938.5244123451646</v>
      </c>
      <c r="I22" s="97">
        <f t="shared" si="2"/>
        <v>10236.124827127169</v>
      </c>
      <c r="J22" s="99">
        <f t="shared" si="2"/>
        <v>3600.4322939820781</v>
      </c>
    </row>
    <row r="23" spans="1:10">
      <c r="A23" s="40"/>
      <c r="B23" s="142"/>
      <c r="C23" s="34"/>
      <c r="D23" s="34"/>
      <c r="E23" s="142"/>
      <c r="F23" s="34"/>
      <c r="G23" s="44"/>
      <c r="H23" s="142"/>
      <c r="I23" s="34"/>
      <c r="J23" s="44"/>
    </row>
    <row r="24" spans="1:10">
      <c r="A24" s="805" t="str">
        <f>'Resid TSM Sum by Rate Schedule'!A25</f>
        <v>Annualized Transformer Cost at 8.05%</v>
      </c>
      <c r="B24" s="147">
        <f>B18*Inputs!$C$5</f>
        <v>104.03262672638078</v>
      </c>
      <c r="C24" s="97">
        <f>C18*Inputs!$C$5</f>
        <v>701.33767279389485</v>
      </c>
      <c r="D24" s="97">
        <f>D18*Inputs!$C$5</f>
        <v>222.97723388276469</v>
      </c>
      <c r="E24" s="147"/>
      <c r="F24" s="97">
        <f>F18*Inputs!$C$5</f>
        <v>0</v>
      </c>
      <c r="G24" s="99">
        <f>G18*Inputs!$C$5</f>
        <v>0</v>
      </c>
      <c r="H24" s="147">
        <f>H18*Inputs!$C$5</f>
        <v>104.03262672638078</v>
      </c>
      <c r="I24" s="97">
        <f>I18*Inputs!$C$5</f>
        <v>696.29932744336395</v>
      </c>
      <c r="J24" s="99">
        <f>J18*Inputs!$C$5</f>
        <v>222.6564033304154</v>
      </c>
    </row>
    <row r="25" spans="1:10">
      <c r="A25" s="805" t="str">
        <f>'Resid TSM Sum by Rate Schedule'!A26</f>
        <v>Annualized Services Cost at 7.08%</v>
      </c>
      <c r="B25" s="147">
        <f>B19*Inputs!$C$6</f>
        <v>26.262823220370841</v>
      </c>
      <c r="C25" s="97">
        <f>C19*Inputs!$C$6</f>
        <v>81.487321434424075</v>
      </c>
      <c r="D25" s="97">
        <f>D19*Inputs!$C$6</f>
        <v>37.259978340229857</v>
      </c>
      <c r="E25" s="147"/>
      <c r="F25" s="97">
        <f>F19*Inputs!$C$6</f>
        <v>299.64082592658525</v>
      </c>
      <c r="G25" s="99">
        <f>G19*Inputs!$C$6</f>
        <v>299.64082592658525</v>
      </c>
      <c r="H25" s="147">
        <f>H19*Inputs!$C$6</f>
        <v>26.262823220370841</v>
      </c>
      <c r="I25" s="97">
        <f>I19*Inputs!$C$6</f>
        <v>83.054516150603391</v>
      </c>
      <c r="J25" s="99">
        <f>J19*Inputs!$C$6</f>
        <v>37.637504739634679</v>
      </c>
    </row>
    <row r="26" spans="1:10" ht="15">
      <c r="A26" s="805" t="str">
        <f>'Resid TSM Sum by Rate Schedule'!A27</f>
        <v>Annualized Meter Cost at 10.78%</v>
      </c>
      <c r="B26" s="628">
        <f>B20*Inputs!$C$7</f>
        <v>29.611683627876854</v>
      </c>
      <c r="C26" s="627">
        <f>C20*Inputs!$C$7</f>
        <v>43.787315406083067</v>
      </c>
      <c r="D26" s="627">
        <f>D20*Inputs!$C$7</f>
        <v>32.434554394084486</v>
      </c>
      <c r="E26" s="628"/>
      <c r="F26" s="627">
        <f>F20*Inputs!$C$7</f>
        <v>108.80056263807836</v>
      </c>
      <c r="G26" s="626">
        <f>G20*Inputs!$C$7</f>
        <v>108.80056263807836</v>
      </c>
      <c r="H26" s="628">
        <f>H20*Inputs!$C$7</f>
        <v>29.611683627876854</v>
      </c>
      <c r="I26" s="627">
        <f>I20*Inputs!$C$7</f>
        <v>44.254364595968084</v>
      </c>
      <c r="J26" s="626">
        <f>J20*Inputs!$C$7</f>
        <v>32.544433542637009</v>
      </c>
    </row>
    <row r="27" spans="1:10">
      <c r="A27" s="114" t="s">
        <v>380</v>
      </c>
      <c r="B27" s="147">
        <f>SUM(B24:B26)</f>
        <v>159.90713357462849</v>
      </c>
      <c r="C27" s="97">
        <f t="shared" ref="C27:J27" si="3">SUM(C24:C26)</f>
        <v>826.61230963440198</v>
      </c>
      <c r="D27" s="97">
        <f t="shared" si="3"/>
        <v>292.67176661707907</v>
      </c>
      <c r="E27" s="147"/>
      <c r="F27" s="97">
        <f t="shared" si="3"/>
        <v>408.44138856466361</v>
      </c>
      <c r="G27" s="99">
        <f t="shared" si="3"/>
        <v>408.44138856466361</v>
      </c>
      <c r="H27" s="147">
        <f t="shared" si="3"/>
        <v>159.90713357462849</v>
      </c>
      <c r="I27" s="97">
        <f t="shared" si="3"/>
        <v>823.60820818993545</v>
      </c>
      <c r="J27" s="99">
        <f t="shared" si="3"/>
        <v>292.83834161268709</v>
      </c>
    </row>
    <row r="28" spans="1:10">
      <c r="A28" s="53"/>
      <c r="B28" s="142"/>
      <c r="C28" s="34"/>
      <c r="D28" s="34"/>
      <c r="E28" s="142"/>
      <c r="F28" s="34"/>
      <c r="G28" s="44"/>
      <c r="H28" s="142"/>
      <c r="I28" s="34"/>
      <c r="J28" s="44"/>
    </row>
    <row r="29" spans="1:10">
      <c r="A29" s="40" t="s">
        <v>50</v>
      </c>
      <c r="B29" s="147">
        <f>'Distribution O&amp;M Allocations'!$AD$20</f>
        <v>35.368112688525201</v>
      </c>
      <c r="C29" s="97">
        <f>'Distribution O&amp;M Allocations'!$AD$20</f>
        <v>35.368112688525201</v>
      </c>
      <c r="D29" s="97">
        <f>'Distribution O&amp;M Allocations'!$AD$20</f>
        <v>35.368112688525201</v>
      </c>
      <c r="E29" s="147"/>
      <c r="F29" s="97">
        <f>'Distribution O&amp;M Allocations'!$AE$20</f>
        <v>51.540398564550095</v>
      </c>
      <c r="G29" s="99">
        <f>'Distribution O&amp;M Allocations'!$AE$20</f>
        <v>51.540398564550095</v>
      </c>
      <c r="H29" s="147">
        <f>'Distribution O&amp;M Allocations'!$AE$24</f>
        <v>35.391382164605815</v>
      </c>
      <c r="I29" s="97">
        <f>'Distribution O&amp;M Allocations'!$AE$24</f>
        <v>35.391382164605815</v>
      </c>
      <c r="J29" s="99">
        <f>'Distribution O&amp;M Allocations'!$AE$24</f>
        <v>35.391382164605815</v>
      </c>
    </row>
    <row r="30" spans="1:10">
      <c r="A30" s="11"/>
      <c r="B30" s="10"/>
      <c r="C30" s="31"/>
      <c r="D30" s="31"/>
      <c r="E30" s="10"/>
      <c r="F30" s="31"/>
      <c r="G30" s="107"/>
      <c r="H30" s="10"/>
      <c r="I30" s="31"/>
      <c r="J30" s="107"/>
    </row>
    <row r="31" spans="1:10">
      <c r="A31" s="40" t="s">
        <v>61</v>
      </c>
      <c r="B31" s="197">
        <f>'Cust Service Cost Allocations'!$AF$76</f>
        <v>148.85601320389145</v>
      </c>
      <c r="C31" s="198">
        <f>'Cust Service Cost Allocations'!$AF$76</f>
        <v>148.85601320389145</v>
      </c>
      <c r="D31" s="198">
        <f>'Cust Service Cost Allocations'!$AF$76</f>
        <v>148.85601320389145</v>
      </c>
      <c r="E31" s="197"/>
      <c r="F31" s="198">
        <f>'Cust Service Cost Allocations'!$AF$76</f>
        <v>148.85601320389145</v>
      </c>
      <c r="G31" s="382">
        <f>'Cust Service Cost Allocations'!$AF$76</f>
        <v>148.85601320389145</v>
      </c>
      <c r="H31" s="197">
        <f>'Cust Service Cost Allocations'!$AF$76</f>
        <v>148.85601320389145</v>
      </c>
      <c r="I31" s="198">
        <f>'Cust Service Cost Allocations'!$AF$76</f>
        <v>148.85601320389145</v>
      </c>
      <c r="J31" s="382">
        <f>'Cust Service Cost Allocations'!$AF$76</f>
        <v>148.85601320389145</v>
      </c>
    </row>
    <row r="32" spans="1:10" ht="13.5" thickBot="1">
      <c r="A32" s="11"/>
      <c r="B32" s="144"/>
      <c r="C32" s="115"/>
      <c r="D32" s="115"/>
      <c r="E32" s="144"/>
      <c r="F32" s="115"/>
      <c r="G32" s="116"/>
      <c r="H32" s="144"/>
      <c r="I32" s="115"/>
      <c r="J32" s="116"/>
    </row>
    <row r="33" spans="1:10" ht="13.5" thickBot="1">
      <c r="A33" s="370" t="s">
        <v>165</v>
      </c>
      <c r="B33" s="371">
        <f t="shared" ref="B33:J33" si="4">B27+B29+B31</f>
        <v>344.13125946704514</v>
      </c>
      <c r="C33" s="372">
        <f t="shared" si="4"/>
        <v>1010.8364355268186</v>
      </c>
      <c r="D33" s="383">
        <f t="shared" si="4"/>
        <v>476.8958925094957</v>
      </c>
      <c r="E33" s="372"/>
      <c r="F33" s="372">
        <f t="shared" si="4"/>
        <v>608.83780033310518</v>
      </c>
      <c r="G33" s="372">
        <f t="shared" si="4"/>
        <v>608.83780033310518</v>
      </c>
      <c r="H33" s="371">
        <f t="shared" si="4"/>
        <v>344.15452894312574</v>
      </c>
      <c r="I33" s="372">
        <f t="shared" si="4"/>
        <v>1007.8556035584327</v>
      </c>
      <c r="J33" s="383">
        <f t="shared" si="4"/>
        <v>477.08573698118437</v>
      </c>
    </row>
    <row r="34" spans="1:10">
      <c r="B34" s="18"/>
      <c r="C34" s="13"/>
      <c r="D34" s="13"/>
      <c r="E34" s="13"/>
      <c r="F34" s="13"/>
      <c r="G34" s="13"/>
    </row>
    <row r="36" spans="1:10">
      <c r="A36" t="s">
        <v>3</v>
      </c>
    </row>
    <row r="44" spans="1:10">
      <c r="A44" s="19"/>
    </row>
    <row r="56" spans="1:1">
      <c r="A56" s="19"/>
    </row>
  </sheetData>
  <mergeCells count="4">
    <mergeCell ref="A1:J1"/>
    <mergeCell ref="B2:D2"/>
    <mergeCell ref="E2:G2"/>
    <mergeCell ref="H2:J2"/>
  </mergeCells>
  <printOptions horizontalCentered="1"/>
  <pageMargins left="0.75" right="0.75" top="1" bottom="1" header="0.5" footer="0.5"/>
  <pageSetup scale="72" orientation="portrait" r:id="rId1"/>
  <headerFooter alignWithMargins="0">
    <oddFooter>&amp;L&amp;F
&amp;A&amp;R&amp;P of &amp;N</oddFooter>
  </headerFooter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E00-000000000000}">
  <sheetPr codeName="Sheet83">
    <tabColor rgb="FF0070C0"/>
    <pageSetUpPr fitToPage="1"/>
  </sheetPr>
  <dimension ref="A1:J58"/>
  <sheetViews>
    <sheetView topLeftCell="A2" zoomScaleNormal="100" workbookViewId="0">
      <selection activeCell="B24" sqref="B24"/>
    </sheetView>
  </sheetViews>
  <sheetFormatPr defaultRowHeight="12.75"/>
  <cols>
    <col min="1" max="1" width="40.7109375" customWidth="1"/>
    <col min="2" max="2" width="10.28515625" customWidth="1"/>
    <col min="3" max="4" width="10.28515625" style="12" customWidth="1"/>
    <col min="5" max="6" width="9.28515625" style="12" customWidth="1"/>
    <col min="7" max="7" width="10.28515625" style="12" customWidth="1"/>
    <col min="8" max="10" width="10.28515625" customWidth="1"/>
  </cols>
  <sheetData>
    <row r="1" spans="1:10" ht="18.75" thickBot="1">
      <c r="A1" s="826" t="s">
        <v>398</v>
      </c>
      <c r="B1" s="826"/>
      <c r="C1" s="826"/>
      <c r="D1" s="826"/>
      <c r="E1" s="826"/>
      <c r="F1" s="826"/>
      <c r="G1" s="826"/>
      <c r="H1" s="826"/>
      <c r="I1" s="826"/>
      <c r="J1" s="826"/>
    </row>
    <row r="2" spans="1:10" ht="13.5" thickBot="1">
      <c r="A2" s="483"/>
      <c r="B2" s="827" t="s">
        <v>0</v>
      </c>
      <c r="C2" s="828"/>
      <c r="D2" s="829"/>
      <c r="E2" s="828" t="s">
        <v>1</v>
      </c>
      <c r="F2" s="828"/>
      <c r="G2" s="829"/>
      <c r="H2" s="828" t="s">
        <v>397</v>
      </c>
      <c r="I2" s="828"/>
      <c r="J2" s="829"/>
    </row>
    <row r="3" spans="1:10" ht="13.5" thickBot="1">
      <c r="A3" s="649" t="s">
        <v>47</v>
      </c>
      <c r="B3" s="643" t="s">
        <v>243</v>
      </c>
      <c r="C3" s="644" t="s">
        <v>174</v>
      </c>
      <c r="D3" s="645" t="s">
        <v>167</v>
      </c>
      <c r="E3" s="644" t="s">
        <v>243</v>
      </c>
      <c r="F3" s="644" t="s">
        <v>174</v>
      </c>
      <c r="G3" s="645" t="s">
        <v>168</v>
      </c>
      <c r="H3" s="644" t="s">
        <v>243</v>
      </c>
      <c r="I3" s="644" t="s">
        <v>174</v>
      </c>
      <c r="J3" s="645" t="s">
        <v>2</v>
      </c>
    </row>
    <row r="4" spans="1:10">
      <c r="A4" s="39"/>
      <c r="B4" s="5"/>
      <c r="C4" s="6"/>
      <c r="D4" s="7"/>
      <c r="E4" s="6"/>
      <c r="F4" s="6"/>
      <c r="G4" s="6"/>
      <c r="H4" s="5"/>
      <c r="I4" s="6"/>
      <c r="J4" s="7"/>
    </row>
    <row r="5" spans="1:10">
      <c r="A5" s="40"/>
      <c r="B5" s="132"/>
      <c r="C5" s="8"/>
      <c r="D5" s="9"/>
      <c r="E5" s="8"/>
      <c r="F5" s="8"/>
      <c r="G5" s="8"/>
      <c r="H5" s="132"/>
      <c r="I5" s="8"/>
      <c r="J5" s="9"/>
    </row>
    <row r="6" spans="1:10">
      <c r="A6" s="40" t="s">
        <v>49</v>
      </c>
      <c r="B6" s="142"/>
      <c r="C6" s="34"/>
      <c r="D6" s="44"/>
      <c r="E6" s="34"/>
      <c r="F6" s="34"/>
      <c r="G6" s="34"/>
      <c r="H6" s="142"/>
      <c r="I6" s="34"/>
      <c r="J6" s="44"/>
    </row>
    <row r="7" spans="1:10">
      <c r="A7" s="41"/>
      <c r="B7" s="142"/>
      <c r="C7" s="34"/>
      <c r="D7" s="44"/>
      <c r="E7" s="34"/>
      <c r="F7" s="34"/>
      <c r="G7" s="34"/>
      <c r="H7" s="142"/>
      <c r="I7" s="34"/>
      <c r="J7" s="44"/>
    </row>
    <row r="8" spans="1:10">
      <c r="A8" s="40" t="s">
        <v>53</v>
      </c>
      <c r="B8" s="143">
        <f>'Sch TOU-PA TSM Summary'!B8*Inputs!$C$12</f>
        <v>1344.6955682238979</v>
      </c>
      <c r="C8" s="163">
        <f>'Sch TOU-PA TSM Summary'!C8*Inputs!$C$12</f>
        <v>9065.2874017576196</v>
      </c>
      <c r="D8" s="49">
        <f>'Sch TOU-PA TSM Summary'!D8*Inputs!$C$12</f>
        <v>2882.1390716739843</v>
      </c>
      <c r="E8" s="163"/>
      <c r="F8" s="163">
        <f>'Sch TOU-PA TSM Summary'!F8*Inputs!$C$12</f>
        <v>0</v>
      </c>
      <c r="G8" s="163">
        <f>'Sch TOU-PA TSM Summary'!G8*Inputs!$C$12</f>
        <v>0</v>
      </c>
      <c r="H8" s="143">
        <f>'Sch TOU-PA TSM Summary'!H8*Inputs!$C$12</f>
        <v>1344.6955682238979</v>
      </c>
      <c r="I8" s="163">
        <f>'Sch TOU-PA TSM Summary'!I8*Inputs!$C$12</f>
        <v>9000.1632106530378</v>
      </c>
      <c r="J8" s="49">
        <f>'Sch TOU-PA TSM Summary'!J8*Inputs!$C$12</f>
        <v>2877.9921089809286</v>
      </c>
    </row>
    <row r="9" spans="1:10">
      <c r="A9" s="40" t="s">
        <v>51</v>
      </c>
      <c r="B9" s="143">
        <f>'Sch TOU-PA TSM Summary'!B9*Inputs!$C$12</f>
        <v>386.00801661358969</v>
      </c>
      <c r="C9" s="163">
        <f>'Sch TOU-PA TSM Summary'!C9*Inputs!$C$12</f>
        <v>1197.6914691204297</v>
      </c>
      <c r="D9" s="49">
        <f>'Sch TOU-PA TSM Summary'!D9*Inputs!$C$12</f>
        <v>547.64296349607559</v>
      </c>
      <c r="E9" s="163"/>
      <c r="F9" s="163">
        <f>'Sch TOU-PA TSM Summary'!F9*Inputs!$C$12</f>
        <v>4404.0870983993873</v>
      </c>
      <c r="G9" s="163">
        <f>'Sch TOU-PA TSM Summary'!G9*Inputs!$C$12</f>
        <v>4404.0870983993873</v>
      </c>
      <c r="H9" s="143">
        <f>'Sch TOU-PA TSM Summary'!H9*Inputs!$C$12</f>
        <v>386.00801661358969</v>
      </c>
      <c r="I9" s="163">
        <f>'Sch TOU-PA TSM Summary'!I9*Inputs!$C$12</f>
        <v>1220.7259204801926</v>
      </c>
      <c r="J9" s="49">
        <f>'Sch TOU-PA TSM Summary'!J9*Inputs!$C$12</f>
        <v>553.19180397795083</v>
      </c>
    </row>
    <row r="10" spans="1:10">
      <c r="A10" s="40" t="s">
        <v>52</v>
      </c>
      <c r="B10" s="143">
        <f>'Sch TOU-PA TSM Summary'!B10*Inputs!$C$12</f>
        <v>285.83452611056748</v>
      </c>
      <c r="C10" s="163">
        <f>'Sch TOU-PA TSM Summary'!C10*Inputs!$C$12</f>
        <v>422.66852185902172</v>
      </c>
      <c r="D10" s="49">
        <f>'Sch TOU-PA TSM Summary'!D10*Inputs!$C$12</f>
        <v>313.08302497574959</v>
      </c>
      <c r="E10" s="163"/>
      <c r="F10" s="163">
        <f>'Sch TOU-PA TSM Summary'!F10*Inputs!$C$12</f>
        <v>1050.2259058630914</v>
      </c>
      <c r="G10" s="163">
        <f>'Sch TOU-PA TSM Summary'!G10*Inputs!$C$12</f>
        <v>1050.2259058630914</v>
      </c>
      <c r="H10" s="143">
        <f>'Sch TOU-PA TSM Summary'!H10*Inputs!$C$12</f>
        <v>285.83452611056748</v>
      </c>
      <c r="I10" s="163">
        <f>'Sch TOU-PA TSM Summary'!I10*Inputs!$C$12</f>
        <v>427.17683639928077</v>
      </c>
      <c r="J10" s="49">
        <f>'Sch TOU-PA TSM Summary'!J10*Inputs!$C$12</f>
        <v>314.14366221443646</v>
      </c>
    </row>
    <row r="11" spans="1:10">
      <c r="A11" s="42"/>
      <c r="B11" s="142"/>
      <c r="C11" s="34"/>
      <c r="D11" s="44"/>
      <c r="E11" s="34"/>
      <c r="F11" s="34"/>
      <c r="G11" s="34"/>
      <c r="H11" s="142"/>
      <c r="I11" s="34"/>
      <c r="J11" s="44"/>
    </row>
    <row r="12" spans="1:10">
      <c r="A12" s="40" t="s">
        <v>35</v>
      </c>
      <c r="B12" s="142">
        <f t="shared" ref="B12:J12" si="0">SUM(B8:B10)</f>
        <v>2016.538110948055</v>
      </c>
      <c r="C12" s="34">
        <f t="shared" si="0"/>
        <v>10685.64739273707</v>
      </c>
      <c r="D12" s="44">
        <f t="shared" si="0"/>
        <v>3742.8650601458094</v>
      </c>
      <c r="E12" s="34"/>
      <c r="F12" s="34">
        <f t="shared" si="0"/>
        <v>5454.3130042624789</v>
      </c>
      <c r="G12" s="34">
        <f t="shared" si="0"/>
        <v>5454.3130042624789</v>
      </c>
      <c r="H12" s="142">
        <f t="shared" si="0"/>
        <v>2016.538110948055</v>
      </c>
      <c r="I12" s="34">
        <f t="shared" si="0"/>
        <v>10648.065967532511</v>
      </c>
      <c r="J12" s="44">
        <f t="shared" si="0"/>
        <v>3745.3275751733158</v>
      </c>
    </row>
    <row r="13" spans="1:10">
      <c r="A13" s="42"/>
      <c r="B13" s="142"/>
      <c r="C13" s="34"/>
      <c r="D13" s="44"/>
      <c r="E13" s="34"/>
      <c r="F13" s="34"/>
      <c r="G13" s="34"/>
      <c r="H13" s="142"/>
      <c r="I13" s="34"/>
      <c r="J13" s="44"/>
    </row>
    <row r="14" spans="1:10">
      <c r="A14" s="40" t="s">
        <v>65</v>
      </c>
      <c r="B14" s="142"/>
      <c r="C14" s="34"/>
      <c r="D14" s="44"/>
      <c r="E14" s="34"/>
      <c r="F14" s="34"/>
      <c r="G14" s="34"/>
      <c r="H14" s="142"/>
      <c r="I14" s="34"/>
      <c r="J14" s="44"/>
    </row>
    <row r="15" spans="1:10">
      <c r="A15" s="53">
        <f>Inputs!C3</f>
        <v>2.7723662892949787E-2</v>
      </c>
      <c r="B15" s="142"/>
      <c r="C15" s="34"/>
      <c r="D15" s="44"/>
      <c r="E15" s="34"/>
      <c r="F15" s="34"/>
      <c r="G15" s="34"/>
      <c r="H15" s="142"/>
      <c r="I15" s="34"/>
      <c r="J15" s="44"/>
    </row>
    <row r="16" spans="1:10">
      <c r="A16" s="40" t="s">
        <v>64</v>
      </c>
      <c r="B16" s="142"/>
      <c r="C16" s="34"/>
      <c r="D16" s="44"/>
      <c r="E16" s="34"/>
      <c r="F16" s="34"/>
      <c r="G16" s="34"/>
      <c r="H16" s="142"/>
      <c r="I16" s="34"/>
      <c r="J16" s="44"/>
    </row>
    <row r="17" spans="1:10">
      <c r="A17" s="53">
        <f>Inputs!C4</f>
        <v>1.5023E-2</v>
      </c>
      <c r="B17" s="142"/>
      <c r="C17" s="34"/>
      <c r="D17" s="44"/>
      <c r="E17" s="34"/>
      <c r="F17" s="34"/>
      <c r="G17" s="34"/>
      <c r="H17" s="142"/>
      <c r="I17" s="34"/>
      <c r="J17" s="44"/>
    </row>
    <row r="18" spans="1:10">
      <c r="A18" s="122" t="s">
        <v>111</v>
      </c>
      <c r="B18" s="142">
        <f t="shared" ref="B18:J20" si="1">(B8*(1+$A$15)*(1+$A$17))</f>
        <v>1402.7368721092073</v>
      </c>
      <c r="C18" s="34">
        <f t="shared" si="1"/>
        <v>9456.5738113559219</v>
      </c>
      <c r="D18" s="34">
        <f t="shared" si="1"/>
        <v>3006.5412885413339</v>
      </c>
      <c r="E18" s="142"/>
      <c r="F18" s="34">
        <f t="shared" si="1"/>
        <v>0</v>
      </c>
      <c r="G18" s="44">
        <f t="shared" si="1"/>
        <v>0</v>
      </c>
      <c r="H18" s="142">
        <f t="shared" si="1"/>
        <v>1402.7368721092073</v>
      </c>
      <c r="I18" s="34">
        <f t="shared" si="1"/>
        <v>9388.6386546651465</v>
      </c>
      <c r="J18" s="44">
        <f t="shared" si="1"/>
        <v>3002.2153298527855</v>
      </c>
    </row>
    <row r="19" spans="1:10">
      <c r="A19" s="122" t="s">
        <v>51</v>
      </c>
      <c r="B19" s="142">
        <f t="shared" si="1"/>
        <v>402.66934065143647</v>
      </c>
      <c r="C19" s="34">
        <f t="shared" si="1"/>
        <v>1249.3876122198517</v>
      </c>
      <c r="D19" s="34">
        <f t="shared" si="1"/>
        <v>571.28096187730807</v>
      </c>
      <c r="E19" s="142"/>
      <c r="F19" s="34">
        <f t="shared" si="1"/>
        <v>4594.181394577663</v>
      </c>
      <c r="G19" s="44">
        <f t="shared" si="1"/>
        <v>4594.181394577663</v>
      </c>
      <c r="H19" s="142">
        <f t="shared" si="1"/>
        <v>402.66934065143647</v>
      </c>
      <c r="I19" s="34">
        <f t="shared" si="1"/>
        <v>1273.4163031850662</v>
      </c>
      <c r="J19" s="44">
        <f t="shared" si="1"/>
        <v>577.06930782363952</v>
      </c>
    </row>
    <row r="20" spans="1:10">
      <c r="A20" s="122" t="s">
        <v>52</v>
      </c>
      <c r="B20" s="142">
        <f t="shared" si="1"/>
        <v>298.17204620279887</v>
      </c>
      <c r="C20" s="34">
        <f t="shared" si="1"/>
        <v>440.91222898477412</v>
      </c>
      <c r="D20" s="34">
        <f t="shared" si="1"/>
        <v>326.5966762611115</v>
      </c>
      <c r="E20" s="142"/>
      <c r="F20" s="34">
        <f t="shared" si="1"/>
        <v>1095.5569699276041</v>
      </c>
      <c r="G20" s="44">
        <f t="shared" si="1"/>
        <v>1095.5569699276041</v>
      </c>
      <c r="H20" s="142">
        <f t="shared" si="1"/>
        <v>298.17204620279887</v>
      </c>
      <c r="I20" s="34">
        <f t="shared" si="1"/>
        <v>445.61513660648973</v>
      </c>
      <c r="J20" s="44">
        <f t="shared" si="1"/>
        <v>327.70309394984037</v>
      </c>
    </row>
    <row r="21" spans="1:10">
      <c r="A21" s="40"/>
      <c r="B21" s="147"/>
      <c r="C21" s="97"/>
      <c r="D21" s="99"/>
      <c r="E21" s="97"/>
      <c r="F21" s="97"/>
      <c r="G21" s="97"/>
      <c r="H21" s="147"/>
      <c r="I21" s="97"/>
      <c r="J21" s="99"/>
    </row>
    <row r="22" spans="1:10">
      <c r="A22" s="40" t="s">
        <v>35</v>
      </c>
      <c r="B22" s="147">
        <f t="shared" ref="B22:J22" si="2">B18+B19+B20</f>
        <v>2103.5782589634427</v>
      </c>
      <c r="C22" s="97">
        <f t="shared" si="2"/>
        <v>11146.873652560547</v>
      </c>
      <c r="D22" s="99">
        <f t="shared" si="2"/>
        <v>3904.4189266797534</v>
      </c>
      <c r="E22" s="97"/>
      <c r="F22" s="97">
        <f t="shared" si="2"/>
        <v>5689.7383645052669</v>
      </c>
      <c r="G22" s="97">
        <f t="shared" si="2"/>
        <v>5689.7383645052669</v>
      </c>
      <c r="H22" s="147">
        <f t="shared" si="2"/>
        <v>2103.5782589634427</v>
      </c>
      <c r="I22" s="97">
        <f t="shared" si="2"/>
        <v>11107.670094456702</v>
      </c>
      <c r="J22" s="99">
        <f t="shared" si="2"/>
        <v>3906.9877316262655</v>
      </c>
    </row>
    <row r="23" spans="1:10">
      <c r="A23" s="40"/>
      <c r="B23" s="142"/>
      <c r="C23" s="34"/>
      <c r="D23" s="44"/>
      <c r="E23" s="34"/>
      <c r="F23" s="34"/>
      <c r="G23" s="34"/>
      <c r="H23" s="142"/>
      <c r="I23" s="34"/>
      <c r="J23" s="44"/>
    </row>
    <row r="24" spans="1:10">
      <c r="A24" s="806" t="str">
        <f>'Resid TSM Sum by Rate Schedule'!A25</f>
        <v>Annualized Transformer Cost at 8.05%</v>
      </c>
      <c r="B24" s="147">
        <f>B18*Inputs!$C$5</f>
        <v>112.89038735381581</v>
      </c>
      <c r="C24" s="97">
        <f>C18*Inputs!$C$5</f>
        <v>761.05241248752736</v>
      </c>
      <c r="D24" s="99">
        <f>D18*Inputs!$C$5</f>
        <v>241.96242175364134</v>
      </c>
      <c r="E24" s="97"/>
      <c r="F24" s="97">
        <f>F18*Inputs!$C$5</f>
        <v>0</v>
      </c>
      <c r="G24" s="97">
        <f>G18*Inputs!$C$5</f>
        <v>0</v>
      </c>
      <c r="H24" s="147">
        <f>H18*Inputs!$C$5</f>
        <v>112.89038735381581</v>
      </c>
      <c r="I24" s="97">
        <f>I18*Inputs!$C$5</f>
        <v>755.58508193804801</v>
      </c>
      <c r="J24" s="99">
        <f>J18*Inputs!$C$5</f>
        <v>241.61427438421168</v>
      </c>
    </row>
    <row r="25" spans="1:10">
      <c r="A25" s="806" t="str">
        <f>'Resid TSM Sum by Rate Schedule'!A26</f>
        <v>Annualized Services Cost at 7.08%</v>
      </c>
      <c r="B25" s="147">
        <f>B19*Inputs!$C$6</f>
        <v>28.49894672130419</v>
      </c>
      <c r="C25" s="97">
        <f>C19*Inputs!$C$6</f>
        <v>88.42548314532074</v>
      </c>
      <c r="D25" s="99">
        <f>D19*Inputs!$C$6</f>
        <v>40.432444320438314</v>
      </c>
      <c r="E25" s="97"/>
      <c r="F25" s="97">
        <f>F19*Inputs!$C$6</f>
        <v>325.15346358443622</v>
      </c>
      <c r="G25" s="97">
        <f>G19*Inputs!$C$6</f>
        <v>325.15346358443622</v>
      </c>
      <c r="H25" s="147">
        <f>H19*Inputs!$C$6</f>
        <v>28.49894672130419</v>
      </c>
      <c r="I25" s="97">
        <f>I19*Inputs!$C$6</f>
        <v>90.126115188705228</v>
      </c>
      <c r="J25" s="99">
        <f>J19*Inputs!$C$6</f>
        <v>40.842114851753422</v>
      </c>
    </row>
    <row r="26" spans="1:10" ht="15">
      <c r="A26" s="806" t="str">
        <f>'Resid TSM Sum by Rate Schedule'!A27</f>
        <v>Annualized Meter Cost at 10.78%</v>
      </c>
      <c r="B26" s="628">
        <f>B20*Inputs!$C$7</f>
        <v>32.132942713653229</v>
      </c>
      <c r="C26" s="627">
        <f>C20*Inputs!$C$7</f>
        <v>47.515545391135703</v>
      </c>
      <c r="D26" s="626">
        <f>D20*Inputs!$C$7</f>
        <v>35.196164169025096</v>
      </c>
      <c r="E26" s="627"/>
      <c r="F26" s="627">
        <f>F20*Inputs!$C$7</f>
        <v>118.06428470589732</v>
      </c>
      <c r="G26" s="627">
        <f>G20*Inputs!$C$7</f>
        <v>118.06428470589732</v>
      </c>
      <c r="H26" s="628">
        <f>H20*Inputs!$C$7</f>
        <v>32.132942713653229</v>
      </c>
      <c r="I26" s="627">
        <f>I20*Inputs!$C$7</f>
        <v>48.022361047132542</v>
      </c>
      <c r="J26" s="626">
        <f>J20*Inputs!$C$7</f>
        <v>35.315398874833555</v>
      </c>
    </row>
    <row r="27" spans="1:10">
      <c r="A27" s="114" t="s">
        <v>380</v>
      </c>
      <c r="B27" s="147">
        <f>SUM(B24:B26)</f>
        <v>173.52227678877321</v>
      </c>
      <c r="C27" s="97">
        <f t="shared" ref="C27:J27" si="3">SUM(C24:C26)</f>
        <v>896.99344102398379</v>
      </c>
      <c r="D27" s="99">
        <f t="shared" si="3"/>
        <v>317.59103024310474</v>
      </c>
      <c r="E27" s="97"/>
      <c r="F27" s="97">
        <f t="shared" si="3"/>
        <v>443.21774829033353</v>
      </c>
      <c r="G27" s="97">
        <f t="shared" si="3"/>
        <v>443.21774829033353</v>
      </c>
      <c r="H27" s="147">
        <f t="shared" si="3"/>
        <v>173.52227678877321</v>
      </c>
      <c r="I27" s="97">
        <f t="shared" si="3"/>
        <v>893.73355817388574</v>
      </c>
      <c r="J27" s="99">
        <f t="shared" si="3"/>
        <v>317.77178811079864</v>
      </c>
    </row>
    <row r="28" spans="1:10">
      <c r="A28" s="53"/>
      <c r="B28" s="142"/>
      <c r="C28" s="34"/>
      <c r="D28" s="44"/>
      <c r="E28" s="34"/>
      <c r="F28" s="34"/>
      <c r="G28" s="34"/>
      <c r="H28" s="142"/>
      <c r="I28" s="34"/>
      <c r="J28" s="44"/>
    </row>
    <row r="29" spans="1:10">
      <c r="A29" s="40" t="s">
        <v>50</v>
      </c>
      <c r="B29" s="142">
        <f>'Sch TOU-PA TSM Summary'!B$29*Inputs!$C$13</f>
        <v>37.261994969251397</v>
      </c>
      <c r="C29" s="34">
        <f>'Sch TOU-PA TSM Summary'!C$29*Inputs!$C$13</f>
        <v>37.261994969251397</v>
      </c>
      <c r="D29" s="44">
        <f>'Sch TOU-PA TSM Summary'!D$29*Inputs!$C$13</f>
        <v>37.261994969251397</v>
      </c>
      <c r="E29" s="34"/>
      <c r="F29" s="34">
        <f>'Sch TOU-PA TSM Summary'!F$29*Inputs!$C$13</f>
        <v>54.300270103147525</v>
      </c>
      <c r="G29" s="34">
        <f>'Sch TOU-PA TSM Summary'!G$29*Inputs!$C$13</f>
        <v>54.300270103147525</v>
      </c>
      <c r="H29" s="142">
        <f>'Sch TOU-PA TSM Summary'!H$29*Inputs!$C$13</f>
        <v>37.286510473041183</v>
      </c>
      <c r="I29" s="34">
        <f>'Sch TOU-PA TSM Summary'!I$29*Inputs!$C$13</f>
        <v>37.286510473041183</v>
      </c>
      <c r="J29" s="44">
        <f>'Sch TOU-PA TSM Summary'!J$29*Inputs!$C$13</f>
        <v>37.286510473041183</v>
      </c>
    </row>
    <row r="30" spans="1:10" ht="15">
      <c r="A30" s="40" t="s">
        <v>453</v>
      </c>
      <c r="B30" s="730">
        <f>-Inputs!$C$18</f>
        <v>-3.0284021924274875</v>
      </c>
      <c r="C30" s="729">
        <f>-Inputs!$C$18</f>
        <v>-3.0284021924274875</v>
      </c>
      <c r="D30" s="731">
        <f>-Inputs!$C$18</f>
        <v>-3.0284021924274875</v>
      </c>
      <c r="E30" s="34"/>
      <c r="F30" s="729">
        <f>-Inputs!$C$18</f>
        <v>-3.0284021924274875</v>
      </c>
      <c r="G30" s="729">
        <f>-Inputs!$C$18</f>
        <v>-3.0284021924274875</v>
      </c>
      <c r="H30" s="730">
        <f>-Inputs!$C$18</f>
        <v>-3.0284021924274875</v>
      </c>
      <c r="I30" s="729">
        <f>-Inputs!$C$18</f>
        <v>-3.0284021924274875</v>
      </c>
      <c r="J30" s="731">
        <f>-Inputs!$C$18</f>
        <v>-3.0284021924274875</v>
      </c>
    </row>
    <row r="31" spans="1:10">
      <c r="A31" s="40" t="s">
        <v>451</v>
      </c>
      <c r="B31" s="142">
        <f>B29+B30</f>
        <v>34.233592776823912</v>
      </c>
      <c r="C31" s="34">
        <f t="shared" ref="C31:D31" si="4">C29+C30</f>
        <v>34.233592776823912</v>
      </c>
      <c r="D31" s="44">
        <f t="shared" si="4"/>
        <v>34.233592776823912</v>
      </c>
      <c r="E31" s="34"/>
      <c r="F31" s="34">
        <f t="shared" ref="F31" si="5">F29+F30</f>
        <v>51.27186791072004</v>
      </c>
      <c r="G31" s="34">
        <f t="shared" ref="G31" si="6">G29+G30</f>
        <v>51.27186791072004</v>
      </c>
      <c r="H31" s="142">
        <f t="shared" ref="H31:I31" si="7">H29+H30</f>
        <v>34.258108280613698</v>
      </c>
      <c r="I31" s="34">
        <f t="shared" si="7"/>
        <v>34.258108280613698</v>
      </c>
      <c r="J31" s="44">
        <f t="shared" ref="J31" si="8">J29+J30</f>
        <v>34.258108280613698</v>
      </c>
    </row>
    <row r="32" spans="1:10">
      <c r="A32" s="11"/>
      <c r="B32" s="10"/>
      <c r="C32" s="31"/>
      <c r="D32" s="107"/>
      <c r="E32" s="31"/>
      <c r="F32" s="31"/>
      <c r="G32" s="31"/>
      <c r="H32" s="10"/>
      <c r="I32" s="31"/>
      <c r="J32" s="107"/>
    </row>
    <row r="33" spans="1:10">
      <c r="A33" s="40" t="s">
        <v>61</v>
      </c>
      <c r="B33" s="197">
        <f>'Sch TOU-PA TSM Summary'!B31*Inputs!$C$14</f>
        <v>160.05279683391606</v>
      </c>
      <c r="C33" s="198">
        <f>'Sch TOU-PA TSM Summary'!C31*Inputs!$C$14</f>
        <v>160.05279683391606</v>
      </c>
      <c r="D33" s="382">
        <f>'Sch TOU-PA TSM Summary'!D31*Inputs!$C$14</f>
        <v>160.05279683391606</v>
      </c>
      <c r="E33" s="198"/>
      <c r="F33" s="198">
        <f>'Sch TOU-PA TSM Summary'!F31*Inputs!$C$14</f>
        <v>160.05279683391606</v>
      </c>
      <c r="G33" s="198">
        <f>'Sch TOU-PA TSM Summary'!G31*Inputs!$C$14</f>
        <v>160.05279683391606</v>
      </c>
      <c r="H33" s="197">
        <f>'Sch TOU-PA TSM Summary'!H31*Inputs!$C$14</f>
        <v>160.05279683391606</v>
      </c>
      <c r="I33" s="198">
        <f>'Sch TOU-PA TSM Summary'!I31*Inputs!$C$14</f>
        <v>160.05279683391606</v>
      </c>
      <c r="J33" s="382">
        <f>'Sch TOU-PA TSM Summary'!J31*Inputs!$C$14</f>
        <v>160.05279683391606</v>
      </c>
    </row>
    <row r="34" spans="1:10" ht="13.5" thickBot="1">
      <c r="A34" s="11"/>
      <c r="B34" s="144"/>
      <c r="C34" s="115"/>
      <c r="D34" s="116"/>
      <c r="E34" s="115"/>
      <c r="F34" s="115"/>
      <c r="G34" s="115"/>
      <c r="H34" s="144"/>
      <c r="I34" s="115"/>
      <c r="J34" s="116"/>
    </row>
    <row r="35" spans="1:10" ht="13.5" thickBot="1">
      <c r="A35" s="370" t="s">
        <v>165</v>
      </c>
      <c r="B35" s="371">
        <f t="shared" ref="B35:J35" si="9">B27+B31+B33</f>
        <v>367.80866639951319</v>
      </c>
      <c r="C35" s="372">
        <f t="shared" si="9"/>
        <v>1091.2798306347238</v>
      </c>
      <c r="D35" s="383">
        <f t="shared" si="9"/>
        <v>511.87741985384469</v>
      </c>
      <c r="E35" s="371"/>
      <c r="F35" s="372">
        <f t="shared" si="9"/>
        <v>654.54241303496963</v>
      </c>
      <c r="G35" s="372">
        <f t="shared" si="9"/>
        <v>654.54241303496963</v>
      </c>
      <c r="H35" s="371">
        <f t="shared" si="9"/>
        <v>367.83318190330294</v>
      </c>
      <c r="I35" s="372">
        <f t="shared" si="9"/>
        <v>1088.0444632884155</v>
      </c>
      <c r="J35" s="383">
        <f t="shared" si="9"/>
        <v>512.0826932253284</v>
      </c>
    </row>
    <row r="36" spans="1:10">
      <c r="B36" s="18"/>
      <c r="C36" s="13"/>
      <c r="D36" s="13"/>
      <c r="E36" s="13"/>
      <c r="F36" s="13"/>
      <c r="G36" s="13"/>
    </row>
    <row r="38" spans="1:10">
      <c r="A38" t="s">
        <v>3</v>
      </c>
    </row>
    <row r="46" spans="1:10">
      <c r="A46" s="19"/>
    </row>
    <row r="58" spans="1:1">
      <c r="A58" s="19"/>
    </row>
  </sheetData>
  <mergeCells count="4">
    <mergeCell ref="A1:J1"/>
    <mergeCell ref="B2:D2"/>
    <mergeCell ref="E2:G2"/>
    <mergeCell ref="H2:J2"/>
  </mergeCells>
  <printOptions horizontalCentered="1"/>
  <pageMargins left="0.75" right="0.75" top="1" bottom="1" header="0.5" footer="0.5"/>
  <pageSetup scale="72" orientation="portrait" r:id="rId1"/>
  <headerFooter alignWithMargins="0">
    <oddFooter>&amp;L&amp;F
&amp;A&amp;R&amp;P of &amp;N</oddFooter>
  </headerFooter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F00-000000000000}">
  <sheetPr codeName="Sheet63">
    <tabColor theme="9" tint="-0.499984740745262"/>
    <pageSetUpPr fitToPage="1"/>
  </sheetPr>
  <dimension ref="A1:F66"/>
  <sheetViews>
    <sheetView topLeftCell="A21" zoomScaleNormal="100" workbookViewId="0">
      <selection activeCell="A47" sqref="A47"/>
    </sheetView>
  </sheetViews>
  <sheetFormatPr defaultRowHeight="12.75"/>
  <cols>
    <col min="1" max="1" width="42.7109375" customWidth="1"/>
    <col min="2" max="2" width="35.5703125" customWidth="1"/>
    <col min="5" max="5" width="11.85546875" bestFit="1" customWidth="1"/>
  </cols>
  <sheetData>
    <row r="1" spans="1:4" ht="18.75" thickBot="1">
      <c r="A1" s="841" t="s">
        <v>427</v>
      </c>
      <c r="B1" s="841"/>
    </row>
    <row r="2" spans="1:4">
      <c r="A2" s="615"/>
      <c r="B2" s="614"/>
    </row>
    <row r="3" spans="1:4" ht="13.5" thickBot="1">
      <c r="A3" s="616" t="s">
        <v>47</v>
      </c>
      <c r="B3" s="618" t="s">
        <v>231</v>
      </c>
    </row>
    <row r="4" spans="1:4">
      <c r="A4" s="39"/>
      <c r="B4" s="7"/>
    </row>
    <row r="5" spans="1:4">
      <c r="A5" s="40"/>
      <c r="B5" s="9"/>
    </row>
    <row r="6" spans="1:4">
      <c r="A6" s="40" t="s">
        <v>232</v>
      </c>
      <c r="B6" s="99"/>
    </row>
    <row r="7" spans="1:4">
      <c r="A7" s="41"/>
      <c r="B7" s="99"/>
    </row>
    <row r="8" spans="1:4">
      <c r="A8" s="40" t="s">
        <v>53</v>
      </c>
      <c r="B8" s="567">
        <v>35.14957239012459</v>
      </c>
      <c r="C8" s="76"/>
      <c r="D8" s="35"/>
    </row>
    <row r="9" spans="1:4">
      <c r="A9" s="40" t="s">
        <v>51</v>
      </c>
      <c r="B9" s="567">
        <v>46.972334953224312</v>
      </c>
      <c r="C9" s="76"/>
    </row>
    <row r="10" spans="1:4">
      <c r="A10" s="40" t="s">
        <v>52</v>
      </c>
      <c r="B10" s="99">
        <v>0</v>
      </c>
    </row>
    <row r="11" spans="1:4">
      <c r="A11" s="42"/>
      <c r="B11" s="44"/>
    </row>
    <row r="12" spans="1:4">
      <c r="A12" s="40" t="s">
        <v>35</v>
      </c>
      <c r="B12" s="44">
        <f>SUM(B8:B10)</f>
        <v>82.121907343348909</v>
      </c>
    </row>
    <row r="13" spans="1:4">
      <c r="A13" s="42"/>
      <c r="B13" s="44"/>
    </row>
    <row r="14" spans="1:4">
      <c r="A14" s="40" t="s">
        <v>65</v>
      </c>
      <c r="B14" s="44"/>
    </row>
    <row r="15" spans="1:4">
      <c r="A15" s="53">
        <f>Inputs!C3</f>
        <v>2.7723662892949787E-2</v>
      </c>
      <c r="B15" s="44"/>
    </row>
    <row r="16" spans="1:4">
      <c r="A16" s="40" t="s">
        <v>64</v>
      </c>
      <c r="B16" s="44"/>
    </row>
    <row r="17" spans="1:6">
      <c r="A17" s="53">
        <f>Inputs!C4</f>
        <v>1.5023E-2</v>
      </c>
      <c r="B17" s="44"/>
    </row>
    <row r="18" spans="1:6">
      <c r="A18" s="122" t="s">
        <v>111</v>
      </c>
      <c r="B18" s="44">
        <f t="shared" ref="B18:B20" si="0">(B8*(1+$A$15)*(1+$A$17))</f>
        <v>36.666738848275813</v>
      </c>
    </row>
    <row r="19" spans="1:6">
      <c r="A19" s="122" t="s">
        <v>51</v>
      </c>
      <c r="B19" s="44">
        <f t="shared" si="0"/>
        <v>48.999809150096709</v>
      </c>
    </row>
    <row r="20" spans="1:6">
      <c r="A20" s="122" t="s">
        <v>52</v>
      </c>
      <c r="B20" s="44">
        <f t="shared" si="0"/>
        <v>0</v>
      </c>
    </row>
    <row r="21" spans="1:6">
      <c r="A21" s="53"/>
      <c r="B21" s="44"/>
    </row>
    <row r="22" spans="1:6">
      <c r="A22" s="40" t="s">
        <v>35</v>
      </c>
      <c r="B22" s="44">
        <f>SUM(B18:B20)</f>
        <v>85.666547998372522</v>
      </c>
    </row>
    <row r="23" spans="1:6">
      <c r="A23" s="42"/>
      <c r="B23" s="44"/>
    </row>
    <row r="24" spans="1:6">
      <c r="A24" s="805" t="str">
        <f>_xlfn.CONCAT("Annualized Transformer Cost at ",ROUND((Inputs!C5*100),2), "%")</f>
        <v>Annualized Transformer Cost at 8.05%</v>
      </c>
      <c r="B24" s="99">
        <f>B18*Inputs!$C$5</f>
        <v>2.9508901019754501</v>
      </c>
    </row>
    <row r="25" spans="1:6">
      <c r="A25" s="805" t="str">
        <f>_xlfn.CONCAT("Annualized Services Cost at ",ROUND((Inputs!C6*100),2), "%")</f>
        <v>Annualized Services Cost at 7.08%</v>
      </c>
      <c r="B25" s="99">
        <f>B19*Inputs!$C$6</f>
        <v>3.4679644297316532</v>
      </c>
    </row>
    <row r="26" spans="1:6" ht="15">
      <c r="A26" s="805" t="str">
        <f>_xlfn.CONCAT("Annualized Meter Cost at ",ROUND((Inputs!C7*100),2), "%")</f>
        <v>Annualized Meter Cost at 10.78%</v>
      </c>
      <c r="B26" s="626">
        <f>B20*Inputs!$C$7</f>
        <v>0</v>
      </c>
    </row>
    <row r="27" spans="1:6">
      <c r="A27" s="114" t="s">
        <v>380</v>
      </c>
      <c r="B27" s="99">
        <f>SUM(B24:B26)</f>
        <v>6.4188545317071029</v>
      </c>
    </row>
    <row r="28" spans="1:6">
      <c r="A28" s="40"/>
      <c r="B28" s="44"/>
    </row>
    <row r="29" spans="1:6">
      <c r="A29" s="40" t="s">
        <v>217</v>
      </c>
      <c r="B29" s="723">
        <v>161261.08333333334</v>
      </c>
      <c r="C29" s="76"/>
      <c r="D29" s="18"/>
      <c r="F29" s="18"/>
    </row>
    <row r="30" spans="1:6">
      <c r="A30" s="40" t="s">
        <v>63</v>
      </c>
      <c r="B30" s="807">
        <v>5281</v>
      </c>
      <c r="D30" s="18"/>
      <c r="F30" s="18"/>
    </row>
    <row r="31" spans="1:6">
      <c r="A31" s="40"/>
      <c r="B31" s="48"/>
    </row>
    <row r="32" spans="1:6">
      <c r="A32" s="40" t="s">
        <v>233</v>
      </c>
      <c r="B32" s="49">
        <f>B27</f>
        <v>6.4188545317071029</v>
      </c>
      <c r="D32" s="35"/>
      <c r="E32" s="35"/>
    </row>
    <row r="33" spans="1:6">
      <c r="A33" s="40"/>
      <c r="B33" s="49"/>
      <c r="D33" s="35"/>
    </row>
    <row r="34" spans="1:6">
      <c r="A34" s="40" t="s">
        <v>50</v>
      </c>
      <c r="B34" s="800">
        <v>0.18642986720362764</v>
      </c>
      <c r="D34" s="35"/>
    </row>
    <row r="35" spans="1:6" ht="15">
      <c r="A35" s="40" t="s">
        <v>453</v>
      </c>
      <c r="B35" s="731">
        <f>-Inputs!$C$18*B30/B29</f>
        <v>-9.9174528954089847E-2</v>
      </c>
      <c r="D35" s="35"/>
    </row>
    <row r="36" spans="1:6">
      <c r="A36" s="40" t="s">
        <v>451</v>
      </c>
      <c r="B36" s="44">
        <f>B34+B35</f>
        <v>8.7255338249537795E-2</v>
      </c>
      <c r="D36" s="35"/>
      <c r="E36" s="463"/>
    </row>
    <row r="37" spans="1:6">
      <c r="A37" s="11"/>
      <c r="B37" s="44"/>
      <c r="D37" s="35"/>
    </row>
    <row r="38" spans="1:6">
      <c r="A38" s="40" t="s">
        <v>61</v>
      </c>
      <c r="B38" s="800">
        <v>1.1316978447365378</v>
      </c>
      <c r="D38" s="35"/>
      <c r="E38" s="35"/>
    </row>
    <row r="39" spans="1:6">
      <c r="A39" s="11"/>
      <c r="B39" s="44"/>
      <c r="D39" s="35"/>
    </row>
    <row r="40" spans="1:6">
      <c r="A40" s="40" t="s">
        <v>234</v>
      </c>
      <c r="B40" s="44">
        <f>B32+B36+B38</f>
        <v>7.637807714693178</v>
      </c>
      <c r="D40" s="35"/>
      <c r="E40" s="35"/>
      <c r="F40" s="35"/>
    </row>
    <row r="41" spans="1:6" ht="13.5" thickBot="1">
      <c r="A41" s="43"/>
      <c r="B41" s="17"/>
    </row>
    <row r="42" spans="1:6">
      <c r="A42" s="322"/>
      <c r="B42" s="337"/>
    </row>
    <row r="43" spans="1:6">
      <c r="A43" s="10" t="s">
        <v>376</v>
      </c>
      <c r="B43" s="14"/>
    </row>
    <row r="44" spans="1:6">
      <c r="A44" s="664" t="s">
        <v>407</v>
      </c>
      <c r="B44" s="101"/>
    </row>
    <row r="45" spans="1:6">
      <c r="A45" s="664" t="s">
        <v>408</v>
      </c>
      <c r="B45" s="101"/>
    </row>
    <row r="46" spans="1:6">
      <c r="A46" s="576" t="s">
        <v>528</v>
      </c>
      <c r="B46" s="101"/>
    </row>
    <row r="47" spans="1:6" ht="13.5" thickBot="1">
      <c r="A47" s="597" t="s">
        <v>373</v>
      </c>
      <c r="B47" s="106"/>
    </row>
    <row r="50" spans="1:1">
      <c r="A50" s="122"/>
    </row>
    <row r="51" spans="1:1">
      <c r="A51" s="122"/>
    </row>
    <row r="52" spans="1:1">
      <c r="A52" s="122"/>
    </row>
    <row r="54" spans="1:1">
      <c r="A54" s="19"/>
    </row>
    <row r="66" spans="1:1">
      <c r="A66" s="19"/>
    </row>
  </sheetData>
  <mergeCells count="1">
    <mergeCell ref="A1:B1"/>
  </mergeCells>
  <printOptions horizontalCentered="1"/>
  <pageMargins left="0.75" right="0.75" top="1" bottom="1" header="0.5" footer="0.5"/>
  <pageSetup orientation="portrait" r:id="rId1"/>
  <headerFooter alignWithMargins="0">
    <oddFooter>&amp;L&amp;F
&amp;A&amp;R&amp;P of &amp;N</oddFooter>
  </headerFooter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000-000000000000}">
  <sheetPr>
    <tabColor rgb="FF333333"/>
  </sheetPr>
  <dimension ref="A1:AB73"/>
  <sheetViews>
    <sheetView zoomScaleNormal="100" workbookViewId="0">
      <pane xSplit="1" topLeftCell="H1" activePane="topRight" state="frozen"/>
      <selection activeCell="D15" sqref="D15"/>
      <selection pane="topRight" activeCell="W7" sqref="W7"/>
    </sheetView>
  </sheetViews>
  <sheetFormatPr defaultRowHeight="12.75"/>
  <cols>
    <col min="1" max="1" width="27" customWidth="1"/>
    <col min="2" max="17" width="12.7109375" customWidth="1"/>
    <col min="18" max="18" width="12.85546875" bestFit="1" customWidth="1"/>
    <col min="22" max="22" width="12.85546875" bestFit="1" customWidth="1"/>
    <col min="23" max="23" width="11.28515625" bestFit="1" customWidth="1"/>
    <col min="24" max="24" width="7.28515625" bestFit="1" customWidth="1"/>
    <col min="25" max="25" width="8.7109375" bestFit="1" customWidth="1"/>
    <col min="28" max="28" width="11.28515625" bestFit="1" customWidth="1"/>
  </cols>
  <sheetData>
    <row r="1" spans="1:28" ht="18.75" thickBot="1">
      <c r="A1" s="849" t="s">
        <v>253</v>
      </c>
      <c r="B1" s="826"/>
      <c r="C1" s="826"/>
      <c r="D1" s="826"/>
      <c r="E1" s="826"/>
      <c r="F1" s="826"/>
      <c r="G1" s="826"/>
      <c r="H1" s="826"/>
      <c r="I1" s="826"/>
      <c r="J1" s="826"/>
      <c r="K1" s="826"/>
      <c r="L1" s="826"/>
      <c r="M1" s="826"/>
      <c r="N1" s="826"/>
      <c r="O1" s="826"/>
      <c r="P1" s="826"/>
      <c r="Q1" s="826"/>
      <c r="R1" s="826"/>
      <c r="S1" s="826"/>
      <c r="T1" s="826"/>
      <c r="U1" s="826"/>
      <c r="V1" s="826"/>
      <c r="W1" s="826"/>
      <c r="X1" s="826"/>
      <c r="Y1" s="826"/>
    </row>
    <row r="2" spans="1:28" ht="13.5" thickBot="1">
      <c r="A2" s="131"/>
      <c r="B2" s="834" t="s">
        <v>0</v>
      </c>
      <c r="C2" s="835"/>
      <c r="D2" s="835"/>
      <c r="E2" s="835"/>
      <c r="F2" s="835"/>
      <c r="G2" s="835"/>
      <c r="H2" s="835"/>
      <c r="I2" s="835"/>
      <c r="J2" s="835"/>
      <c r="K2" s="835"/>
      <c r="L2" s="835"/>
      <c r="M2" s="835"/>
      <c r="N2" s="835"/>
      <c r="O2" s="835"/>
      <c r="P2" s="835"/>
      <c r="Q2" s="835"/>
      <c r="R2" s="836"/>
      <c r="S2" s="830"/>
      <c r="T2" s="830"/>
      <c r="U2" s="831"/>
      <c r="V2" s="836"/>
      <c r="W2" s="830"/>
      <c r="X2" s="830"/>
      <c r="Y2" s="831"/>
    </row>
    <row r="3" spans="1:28" ht="13.5" thickBot="1">
      <c r="A3" s="196"/>
      <c r="B3" s="834" t="s">
        <v>127</v>
      </c>
      <c r="C3" s="835"/>
      <c r="D3" s="835"/>
      <c r="E3" s="837"/>
      <c r="F3" s="834" t="s">
        <v>114</v>
      </c>
      <c r="G3" s="835"/>
      <c r="H3" s="835"/>
      <c r="I3" s="837"/>
      <c r="J3" s="834" t="s">
        <v>33</v>
      </c>
      <c r="K3" s="835"/>
      <c r="L3" s="835"/>
      <c r="M3" s="837"/>
      <c r="N3" s="827" t="s">
        <v>34</v>
      </c>
      <c r="O3" s="828"/>
      <c r="P3" s="828"/>
      <c r="Q3" s="828"/>
      <c r="R3" s="838" t="s">
        <v>1</v>
      </c>
      <c r="S3" s="839"/>
      <c r="T3" s="839"/>
      <c r="U3" s="840"/>
      <c r="V3" s="838" t="s">
        <v>99</v>
      </c>
      <c r="W3" s="839"/>
      <c r="X3" s="839"/>
      <c r="Y3" s="840"/>
    </row>
    <row r="4" spans="1:28" ht="13.5" thickBot="1">
      <c r="A4" s="102" t="s">
        <v>4</v>
      </c>
      <c r="B4" s="734" t="s">
        <v>36</v>
      </c>
      <c r="C4" s="735" t="s">
        <v>37</v>
      </c>
      <c r="D4" s="735" t="s">
        <v>38</v>
      </c>
      <c r="E4" s="736" t="s">
        <v>2</v>
      </c>
      <c r="F4" s="734" t="s">
        <v>36</v>
      </c>
      <c r="G4" s="735" t="s">
        <v>37</v>
      </c>
      <c r="H4" s="735" t="s">
        <v>38</v>
      </c>
      <c r="I4" s="736" t="s">
        <v>2</v>
      </c>
      <c r="J4" s="734" t="s">
        <v>36</v>
      </c>
      <c r="K4" s="735" t="s">
        <v>37</v>
      </c>
      <c r="L4" s="735" t="s">
        <v>38</v>
      </c>
      <c r="M4" s="736" t="s">
        <v>2</v>
      </c>
      <c r="N4" s="734" t="s">
        <v>36</v>
      </c>
      <c r="O4" s="735" t="s">
        <v>37</v>
      </c>
      <c r="P4" s="735" t="s">
        <v>38</v>
      </c>
      <c r="Q4" s="736" t="s">
        <v>2</v>
      </c>
      <c r="R4" s="734" t="s">
        <v>36</v>
      </c>
      <c r="S4" s="735" t="s">
        <v>37</v>
      </c>
      <c r="T4" s="735" t="s">
        <v>38</v>
      </c>
      <c r="U4" s="736" t="s">
        <v>2</v>
      </c>
      <c r="V4" s="734" t="s">
        <v>36</v>
      </c>
      <c r="W4" s="735" t="s">
        <v>37</v>
      </c>
      <c r="X4" s="735" t="s">
        <v>38</v>
      </c>
      <c r="Y4" s="736" t="s">
        <v>2</v>
      </c>
    </row>
    <row r="5" spans="1:28">
      <c r="A5" s="133"/>
      <c r="B5" s="5" t="s">
        <v>44</v>
      </c>
      <c r="C5" s="6" t="s">
        <v>44</v>
      </c>
      <c r="D5" s="6" t="s">
        <v>44</v>
      </c>
      <c r="E5" s="7" t="s">
        <v>44</v>
      </c>
      <c r="F5" s="5" t="s">
        <v>44</v>
      </c>
      <c r="G5" s="6" t="s">
        <v>44</v>
      </c>
      <c r="H5" s="6" t="s">
        <v>44</v>
      </c>
      <c r="I5" s="7" t="s">
        <v>44</v>
      </c>
      <c r="J5" s="5" t="s">
        <v>44</v>
      </c>
      <c r="K5" s="6" t="s">
        <v>44</v>
      </c>
      <c r="L5" s="6" t="s">
        <v>44</v>
      </c>
      <c r="M5" s="9" t="s">
        <v>44</v>
      </c>
      <c r="N5" s="132" t="s">
        <v>44</v>
      </c>
      <c r="O5" s="6" t="s">
        <v>44</v>
      </c>
      <c r="P5" s="6" t="s">
        <v>44</v>
      </c>
      <c r="Q5" s="7" t="s">
        <v>44</v>
      </c>
      <c r="R5" s="132" t="s">
        <v>44</v>
      </c>
      <c r="S5" s="6" t="s">
        <v>44</v>
      </c>
      <c r="T5" s="6" t="s">
        <v>44</v>
      </c>
      <c r="U5" s="7" t="s">
        <v>44</v>
      </c>
      <c r="V5" s="132" t="s">
        <v>44</v>
      </c>
      <c r="W5" s="6" t="s">
        <v>44</v>
      </c>
      <c r="X5" s="6" t="s">
        <v>44</v>
      </c>
      <c r="Y5" s="7" t="s">
        <v>44</v>
      </c>
    </row>
    <row r="6" spans="1:28">
      <c r="A6" s="112"/>
      <c r="B6" s="132"/>
      <c r="C6" s="8"/>
      <c r="D6" s="8"/>
      <c r="E6" s="9"/>
      <c r="F6" s="132"/>
      <c r="G6" s="8"/>
      <c r="H6" s="8"/>
      <c r="I6" s="9"/>
      <c r="J6" s="132"/>
      <c r="K6" s="8"/>
      <c r="L6" s="8"/>
      <c r="M6" s="9"/>
      <c r="N6" s="132"/>
      <c r="O6" s="8"/>
      <c r="P6" s="8"/>
      <c r="Q6" s="9"/>
      <c r="R6" s="132"/>
      <c r="S6" s="8"/>
      <c r="T6" s="8"/>
      <c r="U6" s="9"/>
      <c r="V6" s="132"/>
      <c r="W6" s="8"/>
      <c r="X6" s="8"/>
      <c r="Y6" s="9"/>
    </row>
    <row r="7" spans="1:28">
      <c r="A7" s="153" t="s">
        <v>5</v>
      </c>
      <c r="B7" s="565">
        <v>359.9068707037095</v>
      </c>
      <c r="C7" s="557">
        <v>138.7130210066349</v>
      </c>
      <c r="D7" s="557">
        <v>289.75</v>
      </c>
      <c r="E7" s="45">
        <f>SUM(B7:D7)</f>
        <v>788.3698917103444</v>
      </c>
      <c r="F7" s="565">
        <v>415.6877757254037</v>
      </c>
      <c r="G7" s="557">
        <v>754.14273000301057</v>
      </c>
      <c r="H7" s="557">
        <v>373.18</v>
      </c>
      <c r="I7" s="45">
        <f>SUM(F7:H7)</f>
        <v>1543.0105057284143</v>
      </c>
      <c r="J7" s="565">
        <v>437.08100819147381</v>
      </c>
      <c r="K7" s="557">
        <v>754.14273000301057</v>
      </c>
      <c r="L7" s="557">
        <v>373.18</v>
      </c>
      <c r="M7" s="45">
        <f>SUM(J7:L7)</f>
        <v>1564.4037381944845</v>
      </c>
      <c r="N7" s="565">
        <v>515.58235631294031</v>
      </c>
      <c r="O7" s="557">
        <v>754.14273000301057</v>
      </c>
      <c r="P7" s="557">
        <v>373.18</v>
      </c>
      <c r="Q7" s="45">
        <f>SUM(N7:P7)</f>
        <v>1642.9050863159509</v>
      </c>
      <c r="R7" s="141"/>
      <c r="S7" s="557">
        <v>3870.6678530329991</v>
      </c>
      <c r="T7" s="557">
        <v>1070.5500000000002</v>
      </c>
      <c r="U7" s="45">
        <f>SUM(R7:T7)</f>
        <v>4941.2178530329993</v>
      </c>
      <c r="V7" s="141"/>
      <c r="W7" s="557">
        <v>72866.036185076417</v>
      </c>
      <c r="X7" s="557">
        <v>1196.8699999999999</v>
      </c>
      <c r="Y7" s="45">
        <f>SUM(V7:X7)</f>
        <v>74062.906185076412</v>
      </c>
      <c r="AB7" s="35"/>
    </row>
    <row r="8" spans="1:28">
      <c r="A8" s="153" t="s">
        <v>6</v>
      </c>
      <c r="B8" s="565">
        <v>1079.7206121111285</v>
      </c>
      <c r="C8" s="557">
        <v>138.7130210066349</v>
      </c>
      <c r="D8" s="557">
        <v>289.75</v>
      </c>
      <c r="E8" s="45">
        <f t="shared" ref="E8:E16" si="0">SUM(B8:D8)</f>
        <v>1508.1836331177633</v>
      </c>
      <c r="F8" s="565">
        <v>1247.063327176211</v>
      </c>
      <c r="G8" s="557">
        <v>754.14273000301057</v>
      </c>
      <c r="H8" s="557">
        <v>373.18</v>
      </c>
      <c r="I8" s="45">
        <f t="shared" ref="I8:I17" si="1">SUM(F8:H8)</f>
        <v>2374.3860571792216</v>
      </c>
      <c r="J8" s="565">
        <v>1311.2430245744215</v>
      </c>
      <c r="K8" s="557">
        <v>754.14273000301057</v>
      </c>
      <c r="L8" s="557">
        <v>373.18</v>
      </c>
      <c r="M8" s="45">
        <f t="shared" ref="M8:M19" si="2">SUM(J8:L8)</f>
        <v>2438.565754577432</v>
      </c>
      <c r="N8" s="565">
        <v>1546.7470689388208</v>
      </c>
      <c r="O8" s="557">
        <v>754.14273000301057</v>
      </c>
      <c r="P8" s="557">
        <v>373.18</v>
      </c>
      <c r="Q8" s="45">
        <f t="shared" ref="Q8:Q34" si="3">SUM(N8:P8)</f>
        <v>2674.0697989418313</v>
      </c>
      <c r="R8" s="141"/>
      <c r="S8" s="557">
        <v>3870.6678530329991</v>
      </c>
      <c r="T8" s="557">
        <v>1070.5500000000002</v>
      </c>
      <c r="U8" s="45">
        <f t="shared" ref="U8:U19" si="4">SUM(R8:T8)</f>
        <v>4941.2178530329993</v>
      </c>
      <c r="V8" s="141"/>
      <c r="W8" s="557">
        <v>72866.036185076417</v>
      </c>
      <c r="X8" s="557">
        <v>1196.8699999999999</v>
      </c>
      <c r="Y8" s="45">
        <f t="shared" ref="Y8:Y19" si="5">SUM(V8:X8)</f>
        <v>74062.906185076412</v>
      </c>
    </row>
    <row r="9" spans="1:28">
      <c r="A9" s="153" t="s">
        <v>7</v>
      </c>
      <c r="B9" s="565">
        <v>1079.7206121111285</v>
      </c>
      <c r="C9" s="557">
        <v>195.52229201326981</v>
      </c>
      <c r="D9" s="557">
        <v>289.75</v>
      </c>
      <c r="E9" s="45">
        <f t="shared" si="0"/>
        <v>1564.9929041243984</v>
      </c>
      <c r="F9" s="565">
        <v>2494.1266543524221</v>
      </c>
      <c r="G9" s="557">
        <v>888.28562532861781</v>
      </c>
      <c r="H9" s="557">
        <v>373.18</v>
      </c>
      <c r="I9" s="45">
        <f t="shared" si="1"/>
        <v>3755.5922796810396</v>
      </c>
      <c r="J9" s="565">
        <v>2622.486049148843</v>
      </c>
      <c r="K9" s="557">
        <v>888.28562532861781</v>
      </c>
      <c r="L9" s="557">
        <v>373.18</v>
      </c>
      <c r="M9" s="45">
        <f t="shared" si="2"/>
        <v>3883.9516744774605</v>
      </c>
      <c r="N9" s="565">
        <v>3093.4941378776416</v>
      </c>
      <c r="O9" s="557">
        <v>888.28562532861781</v>
      </c>
      <c r="P9" s="557">
        <v>373.18</v>
      </c>
      <c r="Q9" s="45">
        <f t="shared" si="3"/>
        <v>4354.9597632062596</v>
      </c>
      <c r="R9" s="141"/>
      <c r="S9" s="557">
        <v>3870.6678530329991</v>
      </c>
      <c r="T9" s="557">
        <v>1070.5500000000002</v>
      </c>
      <c r="U9" s="45">
        <f t="shared" si="4"/>
        <v>4941.2178530329993</v>
      </c>
      <c r="V9" s="141"/>
      <c r="W9" s="557">
        <v>72866.036185076417</v>
      </c>
      <c r="X9" s="557">
        <v>1196.8699999999999</v>
      </c>
      <c r="Y9" s="45">
        <f t="shared" si="5"/>
        <v>74062.906185076412</v>
      </c>
    </row>
    <row r="10" spans="1:28">
      <c r="A10" s="153" t="s">
        <v>124</v>
      </c>
      <c r="B10" s="565">
        <v>2699.3015302778213</v>
      </c>
      <c r="C10" s="557">
        <v>213.73179817905475</v>
      </c>
      <c r="D10" s="557">
        <v>289.75</v>
      </c>
      <c r="E10" s="45">
        <f t="shared" si="0"/>
        <v>3202.783328456876</v>
      </c>
      <c r="F10" s="565">
        <v>5819.6288601556516</v>
      </c>
      <c r="G10" s="557">
        <v>888.28562532861781</v>
      </c>
      <c r="H10" s="557">
        <v>373.18</v>
      </c>
      <c r="I10" s="45">
        <f t="shared" si="1"/>
        <v>7081.0944854842701</v>
      </c>
      <c r="J10" s="565">
        <v>6119.1341146806335</v>
      </c>
      <c r="K10" s="557">
        <v>888.28562532861781</v>
      </c>
      <c r="L10" s="557">
        <v>373.18</v>
      </c>
      <c r="M10" s="45">
        <f t="shared" si="2"/>
        <v>7380.5997400092519</v>
      </c>
      <c r="N10" s="565">
        <v>7218.1529883811636</v>
      </c>
      <c r="O10" s="557">
        <v>888.28562532861781</v>
      </c>
      <c r="P10" s="557">
        <v>373.18</v>
      </c>
      <c r="Q10" s="45">
        <f t="shared" si="3"/>
        <v>8479.6186137097811</v>
      </c>
      <c r="R10" s="141"/>
      <c r="S10" s="557">
        <v>3870.6678530329991</v>
      </c>
      <c r="T10" s="557">
        <v>1070.5500000000002</v>
      </c>
      <c r="U10" s="45">
        <f t="shared" si="4"/>
        <v>4941.2178530329993</v>
      </c>
      <c r="V10" s="141"/>
      <c r="W10" s="557">
        <v>72866.036185076417</v>
      </c>
      <c r="X10" s="557">
        <v>1196.8699999999999</v>
      </c>
      <c r="Y10" s="45">
        <f t="shared" si="5"/>
        <v>74062.906185076412</v>
      </c>
    </row>
    <row r="11" spans="1:28">
      <c r="A11" s="153" t="s">
        <v>116</v>
      </c>
      <c r="B11" s="565">
        <v>2699.3015302778213</v>
      </c>
      <c r="C11" s="557">
        <v>213.73179817905475</v>
      </c>
      <c r="D11" s="557">
        <v>289.75</v>
      </c>
      <c r="E11" s="45">
        <f t="shared" si="0"/>
        <v>3202.783328456876</v>
      </c>
      <c r="F11" s="565">
        <v>5819.6288601556516</v>
      </c>
      <c r="G11" s="557">
        <v>888.28562532861781</v>
      </c>
      <c r="H11" s="557">
        <v>373.18</v>
      </c>
      <c r="I11" s="45">
        <f t="shared" si="1"/>
        <v>7081.0944854842701</v>
      </c>
      <c r="J11" s="565">
        <v>6119.1341146806335</v>
      </c>
      <c r="K11" s="557">
        <v>888.28562532861781</v>
      </c>
      <c r="L11" s="557">
        <v>373.18</v>
      </c>
      <c r="M11" s="45">
        <f t="shared" si="2"/>
        <v>7380.5997400092519</v>
      </c>
      <c r="N11" s="565">
        <v>7218.1529883811636</v>
      </c>
      <c r="O11" s="557">
        <v>888.28562532861781</v>
      </c>
      <c r="P11" s="557">
        <v>373.18</v>
      </c>
      <c r="Q11" s="45">
        <f t="shared" si="3"/>
        <v>8479.6186137097811</v>
      </c>
      <c r="R11" s="141"/>
      <c r="S11" s="557">
        <v>3870.6678530329991</v>
      </c>
      <c r="T11" s="557">
        <v>1070.5500000000002</v>
      </c>
      <c r="U11" s="45">
        <f t="shared" si="4"/>
        <v>4941.2178530329993</v>
      </c>
      <c r="V11" s="141"/>
      <c r="W11" s="557">
        <v>72866.036185076417</v>
      </c>
      <c r="X11" s="557">
        <v>1196.8699999999999</v>
      </c>
      <c r="Y11" s="45">
        <f t="shared" si="5"/>
        <v>74062.906185076412</v>
      </c>
    </row>
    <row r="12" spans="1:28">
      <c r="A12" s="153" t="s">
        <v>8</v>
      </c>
      <c r="B12" s="565">
        <v>5800.0690373856005</v>
      </c>
      <c r="C12" s="557">
        <v>515.2781532122292</v>
      </c>
      <c r="D12" s="557">
        <v>289.75</v>
      </c>
      <c r="E12" s="45">
        <f t="shared" si="0"/>
        <v>6605.0971905978295</v>
      </c>
      <c r="F12" s="565">
        <v>17458.886580466955</v>
      </c>
      <c r="G12" s="557">
        <v>1156.5714159798322</v>
      </c>
      <c r="H12" s="557">
        <v>373.18</v>
      </c>
      <c r="I12" s="45">
        <f t="shared" si="1"/>
        <v>18988.637996446789</v>
      </c>
      <c r="J12" s="565">
        <v>18357.402344041901</v>
      </c>
      <c r="K12" s="557">
        <v>1156.5714159798322</v>
      </c>
      <c r="L12" s="557">
        <v>373.18</v>
      </c>
      <c r="M12" s="45">
        <f t="shared" si="2"/>
        <v>19887.153760021734</v>
      </c>
      <c r="N12" s="565">
        <v>7218.1529883811636</v>
      </c>
      <c r="O12" s="557">
        <v>1156.5714159798322</v>
      </c>
      <c r="P12" s="557">
        <v>373.18</v>
      </c>
      <c r="Q12" s="45">
        <f t="shared" si="3"/>
        <v>8747.9044043609956</v>
      </c>
      <c r="R12" s="141"/>
      <c r="S12" s="557">
        <v>3870.6678530329991</v>
      </c>
      <c r="T12" s="557">
        <v>1070.5500000000002</v>
      </c>
      <c r="U12" s="45">
        <f t="shared" si="4"/>
        <v>4941.2178530329993</v>
      </c>
      <c r="V12" s="141"/>
      <c r="W12" s="557">
        <v>72866.036185076417</v>
      </c>
      <c r="X12" s="557">
        <v>1196.8699999999999</v>
      </c>
      <c r="Y12" s="45">
        <f t="shared" si="5"/>
        <v>74062.906185076412</v>
      </c>
    </row>
    <row r="13" spans="1:28">
      <c r="A13" s="153" t="s">
        <v>9</v>
      </c>
      <c r="B13" s="565">
        <v>6368.9186698837793</v>
      </c>
      <c r="C13" s="557">
        <v>830.17368518837884</v>
      </c>
      <c r="D13" s="557">
        <v>289.75</v>
      </c>
      <c r="E13" s="45">
        <f t="shared" si="0"/>
        <v>7488.8423550721582</v>
      </c>
      <c r="F13" s="565">
        <v>17458.886580466955</v>
      </c>
      <c r="G13" s="557">
        <v>1781.4759788251249</v>
      </c>
      <c r="H13" s="557">
        <v>373.18</v>
      </c>
      <c r="I13" s="45">
        <f t="shared" si="1"/>
        <v>19613.54255929208</v>
      </c>
      <c r="J13" s="565">
        <v>18357.402344041901</v>
      </c>
      <c r="K13" s="557">
        <v>1781.4759788251249</v>
      </c>
      <c r="L13" s="557">
        <v>373.18</v>
      </c>
      <c r="M13" s="45">
        <f t="shared" si="2"/>
        <v>20512.058322867026</v>
      </c>
      <c r="N13" s="565">
        <v>10827.229482571745</v>
      </c>
      <c r="O13" s="557">
        <v>1156.5714159798322</v>
      </c>
      <c r="P13" s="557">
        <v>373.18</v>
      </c>
      <c r="Q13" s="45">
        <f t="shared" si="3"/>
        <v>12356.980898551577</v>
      </c>
      <c r="R13" s="141"/>
      <c r="S13" s="557">
        <v>3870.6678530329991</v>
      </c>
      <c r="T13" s="557">
        <v>1070.5500000000002</v>
      </c>
      <c r="U13" s="45">
        <f t="shared" si="4"/>
        <v>4941.2178530329993</v>
      </c>
      <c r="V13" s="141"/>
      <c r="W13" s="557">
        <v>72866.036185076417</v>
      </c>
      <c r="X13" s="557">
        <v>1196.8699999999999</v>
      </c>
      <c r="Y13" s="45">
        <f t="shared" si="5"/>
        <v>74062.906185076412</v>
      </c>
    </row>
    <row r="14" spans="1:28">
      <c r="A14" s="153" t="s">
        <v>10</v>
      </c>
      <c r="B14" s="565">
        <v>6104.4280378817093</v>
      </c>
      <c r="C14" s="557">
        <v>1578.4436203767575</v>
      </c>
      <c r="D14" s="557">
        <v>289.75</v>
      </c>
      <c r="E14" s="45">
        <f t="shared" si="0"/>
        <v>7972.6216582584666</v>
      </c>
      <c r="F14" s="565">
        <v>10312.778791627177</v>
      </c>
      <c r="G14" s="557">
        <v>1781.4759788251249</v>
      </c>
      <c r="H14" s="557">
        <v>373.18</v>
      </c>
      <c r="I14" s="45">
        <f t="shared" si="1"/>
        <v>12467.434770452302</v>
      </c>
      <c r="J14" s="565">
        <v>10632.265611560561</v>
      </c>
      <c r="K14" s="557">
        <v>1781.4759788251249</v>
      </c>
      <c r="L14" s="557">
        <v>373.18</v>
      </c>
      <c r="M14" s="45">
        <f t="shared" si="2"/>
        <v>12786.921590385686</v>
      </c>
      <c r="N14" s="565">
        <v>10827.229482571745</v>
      </c>
      <c r="O14" s="557">
        <v>1781.4759788251249</v>
      </c>
      <c r="P14" s="557">
        <v>373.18</v>
      </c>
      <c r="Q14" s="45">
        <f t="shared" si="3"/>
        <v>12981.885461396871</v>
      </c>
      <c r="R14" s="141"/>
      <c r="S14" s="557">
        <v>3870.6678530329991</v>
      </c>
      <c r="T14" s="557">
        <v>1070.5500000000002</v>
      </c>
      <c r="U14" s="45">
        <f t="shared" si="4"/>
        <v>4941.2178530329993</v>
      </c>
      <c r="V14" s="141"/>
      <c r="W14" s="557">
        <v>72866.036185076417</v>
      </c>
      <c r="X14" s="557">
        <v>1196.8699999999999</v>
      </c>
      <c r="Y14" s="45">
        <f t="shared" si="5"/>
        <v>74062.906185076412</v>
      </c>
    </row>
    <row r="15" spans="1:28">
      <c r="A15" s="153" t="s">
        <v>11</v>
      </c>
      <c r="B15" s="565">
        <v>6104.4280378817093</v>
      </c>
      <c r="C15" s="557">
        <v>2326.7135555651362</v>
      </c>
      <c r="D15" s="557">
        <v>289.75</v>
      </c>
      <c r="E15" s="45">
        <f t="shared" si="0"/>
        <v>8720.8915934468459</v>
      </c>
      <c r="F15" s="565">
        <v>10312.778791627177</v>
      </c>
      <c r="G15" s="557">
        <v>3562.9519576502498</v>
      </c>
      <c r="H15" s="557">
        <v>1070.5500000000002</v>
      </c>
      <c r="I15" s="45">
        <f t="shared" si="1"/>
        <v>14946.280749277426</v>
      </c>
      <c r="J15" s="565">
        <v>21264.531223121121</v>
      </c>
      <c r="K15" s="557">
        <v>3562.9519576502498</v>
      </c>
      <c r="L15" s="557">
        <v>1070.5500000000002</v>
      </c>
      <c r="M15" s="45">
        <f t="shared" si="2"/>
        <v>25898.03318077137</v>
      </c>
      <c r="N15" s="565">
        <v>21654.458965143491</v>
      </c>
      <c r="O15" s="557">
        <v>1781.4759788251249</v>
      </c>
      <c r="P15" s="557">
        <v>1070.5500000000002</v>
      </c>
      <c r="Q15" s="45">
        <f t="shared" si="3"/>
        <v>24506.484943968615</v>
      </c>
      <c r="R15" s="141"/>
      <c r="S15" s="557">
        <v>3870.6678530329991</v>
      </c>
      <c r="T15" s="557">
        <v>1196.8699999999999</v>
      </c>
      <c r="U15" s="45">
        <f t="shared" si="4"/>
        <v>5067.537853032999</v>
      </c>
      <c r="V15" s="141"/>
      <c r="W15" s="557">
        <v>72866.036185076417</v>
      </c>
      <c r="X15" s="557">
        <v>1196.8699999999999</v>
      </c>
      <c r="Y15" s="45">
        <f t="shared" si="5"/>
        <v>74062.906185076412</v>
      </c>
    </row>
    <row r="16" spans="1:28">
      <c r="A16" s="153" t="s">
        <v>120</v>
      </c>
      <c r="B16" s="565">
        <v>8622.4294367037546</v>
      </c>
      <c r="C16" s="557">
        <v>2326.7135555651362</v>
      </c>
      <c r="D16" s="557">
        <v>289.75</v>
      </c>
      <c r="E16" s="45">
        <f t="shared" si="0"/>
        <v>11238.892992268891</v>
      </c>
      <c r="F16" s="565">
        <v>20625.557583254355</v>
      </c>
      <c r="G16" s="557">
        <v>4799.9629618624504</v>
      </c>
      <c r="H16" s="557">
        <v>1070.5500000000002</v>
      </c>
      <c r="I16" s="45">
        <f t="shared" si="1"/>
        <v>26496.070545116803</v>
      </c>
      <c r="J16" s="565">
        <v>11980.265558589947</v>
      </c>
      <c r="K16" s="557">
        <v>4799.9629618624504</v>
      </c>
      <c r="L16" s="557">
        <v>1070.5500000000002</v>
      </c>
      <c r="M16" s="45">
        <f t="shared" si="2"/>
        <v>17850.778520452397</v>
      </c>
      <c r="N16" s="565">
        <v>11342.068843866331</v>
      </c>
      <c r="O16" s="557">
        <v>2399.9814809312252</v>
      </c>
      <c r="P16" s="557">
        <v>1070.5500000000002</v>
      </c>
      <c r="Q16" s="45">
        <f t="shared" si="3"/>
        <v>14812.600324797557</v>
      </c>
      <c r="R16" s="141"/>
      <c r="S16" s="557">
        <v>3870.6678530329991</v>
      </c>
      <c r="T16" s="557">
        <v>1196.8699999999999</v>
      </c>
      <c r="U16" s="45">
        <f t="shared" si="4"/>
        <v>5067.537853032999</v>
      </c>
      <c r="V16" s="141"/>
      <c r="W16" s="557">
        <v>72866.036185076417</v>
      </c>
      <c r="X16" s="557">
        <v>1196.8699999999999</v>
      </c>
      <c r="Y16" s="45">
        <f t="shared" si="5"/>
        <v>74062.906185076412</v>
      </c>
    </row>
    <row r="17" spans="1:28">
      <c r="A17" s="153" t="s">
        <v>121</v>
      </c>
      <c r="B17" s="141"/>
      <c r="C17" s="126"/>
      <c r="D17" s="126"/>
      <c r="E17" s="45"/>
      <c r="F17" s="565">
        <v>20625.557583254355</v>
      </c>
      <c r="G17" s="557">
        <v>4799.9629618624504</v>
      </c>
      <c r="H17" s="557">
        <v>1070.5500000000002</v>
      </c>
      <c r="I17" s="45">
        <f t="shared" si="1"/>
        <v>26496.070545116803</v>
      </c>
      <c r="J17" s="565">
        <v>11980.265558589947</v>
      </c>
      <c r="K17" s="557">
        <v>4799.9629618624504</v>
      </c>
      <c r="L17" s="557">
        <v>1070.5500000000002</v>
      </c>
      <c r="M17" s="45">
        <f t="shared" si="2"/>
        <v>17850.778520452397</v>
      </c>
      <c r="N17" s="565">
        <v>11342.068843866331</v>
      </c>
      <c r="O17" s="557">
        <v>2399.9814809312252</v>
      </c>
      <c r="P17" s="557">
        <v>1070.5500000000002</v>
      </c>
      <c r="Q17" s="45">
        <f t="shared" si="3"/>
        <v>14812.600324797557</v>
      </c>
      <c r="R17" s="141"/>
      <c r="S17" s="557">
        <v>3870.6678530329991</v>
      </c>
      <c r="T17" s="557">
        <v>1196.8699999999999</v>
      </c>
      <c r="U17" s="45">
        <f t="shared" si="4"/>
        <v>5067.537853032999</v>
      </c>
      <c r="V17" s="141"/>
      <c r="W17" s="557">
        <v>72866.036185076417</v>
      </c>
      <c r="X17" s="557">
        <v>1196.8699999999999</v>
      </c>
      <c r="Y17" s="45">
        <f t="shared" si="5"/>
        <v>74062.906185076412</v>
      </c>
      <c r="AB17" s="35"/>
    </row>
    <row r="18" spans="1:28">
      <c r="A18" s="153" t="s">
        <v>12</v>
      </c>
      <c r="B18" s="141"/>
      <c r="C18" s="126"/>
      <c r="D18" s="126"/>
      <c r="E18" s="45"/>
      <c r="F18" s="565"/>
      <c r="G18" s="557"/>
      <c r="H18" s="126"/>
      <c r="I18" s="45"/>
      <c r="J18" s="565">
        <v>23960.531117179893</v>
      </c>
      <c r="K18" s="557">
        <v>7831.0276978534475</v>
      </c>
      <c r="L18" s="557">
        <v>1070.5500000000002</v>
      </c>
      <c r="M18" s="45">
        <f t="shared" si="2"/>
        <v>32862.108815033345</v>
      </c>
      <c r="N18" s="565">
        <v>22684.137687732662</v>
      </c>
      <c r="O18" s="557">
        <v>3915.5138489267238</v>
      </c>
      <c r="P18" s="557">
        <v>1070.5500000000002</v>
      </c>
      <c r="Q18" s="45">
        <f t="shared" si="3"/>
        <v>27670.201536659384</v>
      </c>
      <c r="R18" s="141"/>
      <c r="S18" s="557">
        <v>3870.6678530329991</v>
      </c>
      <c r="T18" s="557">
        <v>1196.8699999999999</v>
      </c>
      <c r="U18" s="45">
        <f t="shared" si="4"/>
        <v>5067.537853032999</v>
      </c>
      <c r="V18" s="141"/>
      <c r="W18" s="557">
        <v>72866.036185076417</v>
      </c>
      <c r="X18" s="557">
        <v>1196.8699999999999</v>
      </c>
      <c r="Y18" s="45">
        <f t="shared" si="5"/>
        <v>74062.906185076412</v>
      </c>
      <c r="AB18" s="35"/>
    </row>
    <row r="19" spans="1:28">
      <c r="A19" s="153" t="s">
        <v>13</v>
      </c>
      <c r="B19" s="141"/>
      <c r="C19" s="126"/>
      <c r="D19" s="126"/>
      <c r="E19" s="45"/>
      <c r="G19" s="126"/>
      <c r="H19" s="126"/>
      <c r="I19" s="45"/>
      <c r="J19" s="565">
        <v>15342.485412202193</v>
      </c>
      <c r="K19" s="557">
        <v>11746.541546780172</v>
      </c>
      <c r="L19" s="557">
        <v>1070.5500000000002</v>
      </c>
      <c r="M19" s="45">
        <f t="shared" si="2"/>
        <v>28159.576958982365</v>
      </c>
      <c r="N19" s="565">
        <v>15342.485412202193</v>
      </c>
      <c r="O19" s="557">
        <v>4799.9629618624504</v>
      </c>
      <c r="P19" s="557">
        <v>1070.5500000000002</v>
      </c>
      <c r="Q19" s="45">
        <f t="shared" si="3"/>
        <v>21212.998374064642</v>
      </c>
      <c r="R19" s="141"/>
      <c r="S19" s="557">
        <v>3870.6678530329991</v>
      </c>
      <c r="T19" s="557">
        <v>1196.8699999999999</v>
      </c>
      <c r="U19" s="45">
        <f t="shared" si="4"/>
        <v>5067.537853032999</v>
      </c>
      <c r="V19" s="141"/>
      <c r="W19" s="557">
        <v>72866.036185076417</v>
      </c>
      <c r="X19" s="557">
        <v>1196.8699999999999</v>
      </c>
      <c r="Y19" s="45">
        <f t="shared" si="5"/>
        <v>74062.906185076412</v>
      </c>
      <c r="AB19" s="35"/>
    </row>
    <row r="20" spans="1:28">
      <c r="A20" s="153" t="s">
        <v>122</v>
      </c>
      <c r="B20" s="141"/>
      <c r="C20" s="126"/>
      <c r="D20" s="126"/>
      <c r="E20" s="45"/>
      <c r="F20" s="141"/>
      <c r="G20" s="126"/>
      <c r="H20" s="126"/>
      <c r="I20" s="45"/>
      <c r="J20" s="565">
        <v>20736.649964965192</v>
      </c>
      <c r="K20" s="557">
        <v>11746.541546780172</v>
      </c>
      <c r="L20" s="557">
        <v>1070.5500000000002</v>
      </c>
      <c r="M20" s="45">
        <f t="shared" ref="M20:M28" si="6">SUM(J20:L20)</f>
        <v>33553.741511745364</v>
      </c>
      <c r="N20" s="565">
        <v>17521.618447137709</v>
      </c>
      <c r="O20" s="557">
        <v>4799.9629618624504</v>
      </c>
      <c r="P20" s="557">
        <v>1070.5500000000002</v>
      </c>
      <c r="Q20" s="45">
        <f>SUM(N20:P20)</f>
        <v>23392.131409000158</v>
      </c>
      <c r="R20" s="141"/>
      <c r="S20" s="557">
        <v>3870.6678530329991</v>
      </c>
      <c r="T20" s="557">
        <v>1196.8699999999999</v>
      </c>
      <c r="U20" s="45">
        <f>SUM(R20:T20)</f>
        <v>5067.537853032999</v>
      </c>
      <c r="V20" s="141"/>
      <c r="W20" s="557">
        <v>72866.036185076417</v>
      </c>
      <c r="X20" s="557">
        <v>1196.8699999999999</v>
      </c>
      <c r="Y20" s="45">
        <f>SUM(V20:X20)</f>
        <v>74062.906185076412</v>
      </c>
      <c r="AB20" s="35"/>
    </row>
    <row r="21" spans="1:28">
      <c r="A21" s="153" t="s">
        <v>123</v>
      </c>
      <c r="B21" s="141"/>
      <c r="C21" s="126"/>
      <c r="D21" s="126"/>
      <c r="E21" s="45"/>
      <c r="F21" s="141"/>
      <c r="G21" s="126"/>
      <c r="H21" s="126"/>
      <c r="I21" s="45"/>
      <c r="J21" s="565">
        <v>20736.649964965192</v>
      </c>
      <c r="K21" s="557">
        <v>11746.541546780172</v>
      </c>
      <c r="L21" s="557">
        <v>1070.5500000000002</v>
      </c>
      <c r="M21" s="45">
        <f t="shared" si="6"/>
        <v>33553.741511745364</v>
      </c>
      <c r="N21" s="565">
        <v>17521.618447137709</v>
      </c>
      <c r="O21" s="557">
        <v>4799.9629618624504</v>
      </c>
      <c r="P21" s="557">
        <v>1070.5500000000002</v>
      </c>
      <c r="Q21" s="45">
        <f t="shared" si="3"/>
        <v>23392.131409000158</v>
      </c>
      <c r="R21" s="141"/>
      <c r="S21" s="557">
        <v>3870.6678530329991</v>
      </c>
      <c r="T21" s="557">
        <v>1196.8699999999999</v>
      </c>
      <c r="U21" s="45">
        <f t="shared" ref="U21:U37" si="7">SUM(R21:T21)</f>
        <v>5067.537853032999</v>
      </c>
      <c r="V21" s="141"/>
      <c r="W21" s="557">
        <v>72866.036185076417</v>
      </c>
      <c r="X21" s="557">
        <v>1196.8699999999999</v>
      </c>
      <c r="Y21" s="45">
        <f t="shared" ref="Y21:Y37" si="8">SUM(V21:X21)</f>
        <v>74062.906185076412</v>
      </c>
      <c r="AB21" s="35"/>
    </row>
    <row r="22" spans="1:28">
      <c r="A22" s="153" t="s">
        <v>14</v>
      </c>
      <c r="B22" s="141"/>
      <c r="C22" s="126"/>
      <c r="D22" s="126"/>
      <c r="E22" s="45"/>
      <c r="F22" s="141"/>
      <c r="G22" s="126"/>
      <c r="H22" s="126"/>
      <c r="I22" s="45"/>
      <c r="J22" s="565">
        <v>41473.299929930385</v>
      </c>
      <c r="K22" s="557">
        <v>15662.055395706895</v>
      </c>
      <c r="L22" s="557">
        <v>1070.5500000000002</v>
      </c>
      <c r="M22" s="45">
        <f t="shared" si="6"/>
        <v>58205.905325637286</v>
      </c>
      <c r="N22" s="565">
        <v>35043.236894275418</v>
      </c>
      <c r="O22" s="557">
        <v>7831.0276978534475</v>
      </c>
      <c r="P22" s="557">
        <v>1070.5500000000002</v>
      </c>
      <c r="Q22" s="45">
        <f t="shared" si="3"/>
        <v>43944.814592128867</v>
      </c>
      <c r="R22" s="141"/>
      <c r="S22" s="557">
        <v>3870.6678530329991</v>
      </c>
      <c r="T22" s="557">
        <v>1196.8699999999999</v>
      </c>
      <c r="U22" s="45">
        <f t="shared" si="7"/>
        <v>5067.537853032999</v>
      </c>
      <c r="V22" s="141"/>
      <c r="W22" s="557">
        <v>72866.036185076417</v>
      </c>
      <c r="X22" s="557">
        <v>1196.8699999999999</v>
      </c>
      <c r="Y22" s="45">
        <f t="shared" si="8"/>
        <v>74062.906185076412</v>
      </c>
    </row>
    <row r="23" spans="1:28">
      <c r="A23" s="153" t="s">
        <v>15</v>
      </c>
      <c r="B23" s="141"/>
      <c r="C23" s="126"/>
      <c r="D23" s="126"/>
      <c r="E23" s="45"/>
      <c r="F23" s="141"/>
      <c r="G23" s="126"/>
      <c r="H23" s="126"/>
      <c r="I23" s="45"/>
      <c r="J23" s="565">
        <v>41473.299929930385</v>
      </c>
      <c r="K23" s="557">
        <v>19577.569244633622</v>
      </c>
      <c r="L23" s="557">
        <v>1070.5500000000002</v>
      </c>
      <c r="M23" s="45">
        <f t="shared" si="6"/>
        <v>62121.419174564013</v>
      </c>
      <c r="N23" s="565">
        <v>42483.131655923069</v>
      </c>
      <c r="O23" s="557">
        <v>7831.0276978534475</v>
      </c>
      <c r="P23" s="557">
        <v>1070.5500000000002</v>
      </c>
      <c r="Q23" s="45">
        <f t="shared" si="3"/>
        <v>51384.709353776518</v>
      </c>
      <c r="R23" s="141"/>
      <c r="S23" s="557">
        <v>3870.6678530329991</v>
      </c>
      <c r="T23" s="557">
        <v>1196.8699999999999</v>
      </c>
      <c r="U23" s="45">
        <f t="shared" si="7"/>
        <v>5067.537853032999</v>
      </c>
      <c r="V23" s="141"/>
      <c r="W23" s="557">
        <v>72866.036185076417</v>
      </c>
      <c r="X23" s="557">
        <v>1196.8699999999999</v>
      </c>
      <c r="Y23" s="45">
        <f t="shared" si="8"/>
        <v>74062.906185076412</v>
      </c>
    </row>
    <row r="24" spans="1:28">
      <c r="A24" s="153" t="s">
        <v>16</v>
      </c>
      <c r="B24" s="141"/>
      <c r="C24" s="126"/>
      <c r="D24" s="126"/>
      <c r="E24" s="45"/>
      <c r="F24" s="141"/>
      <c r="G24" s="126"/>
      <c r="H24" s="126"/>
      <c r="I24" s="45"/>
      <c r="J24" s="565">
        <v>48693.273430125228</v>
      </c>
      <c r="K24" s="557">
        <v>23493.083093560344</v>
      </c>
      <c r="L24" s="557">
        <v>1070.5500000000002</v>
      </c>
      <c r="M24" s="45">
        <f t="shared" si="6"/>
        <v>73256.906523685568</v>
      </c>
      <c r="N24" s="565">
        <v>42483.131655923069</v>
      </c>
      <c r="O24" s="557">
        <v>7831.0276978534475</v>
      </c>
      <c r="P24" s="557">
        <v>1070.5500000000002</v>
      </c>
      <c r="Q24" s="45">
        <f t="shared" si="3"/>
        <v>51384.709353776518</v>
      </c>
      <c r="R24" s="141"/>
      <c r="S24" s="557">
        <v>3870.6678530329991</v>
      </c>
      <c r="T24" s="557">
        <v>1196.8699999999999</v>
      </c>
      <c r="U24" s="45">
        <f t="shared" si="7"/>
        <v>5067.537853032999</v>
      </c>
      <c r="V24" s="141"/>
      <c r="W24" s="557">
        <v>72866.036185076417</v>
      </c>
      <c r="X24" s="557">
        <v>1196.8699999999999</v>
      </c>
      <c r="Y24" s="45">
        <f t="shared" si="8"/>
        <v>74062.906185076412</v>
      </c>
    </row>
    <row r="25" spans="1:28">
      <c r="A25" s="153" t="s">
        <v>17</v>
      </c>
      <c r="B25" s="141"/>
      <c r="C25" s="126"/>
      <c r="D25" s="126"/>
      <c r="E25" s="45"/>
      <c r="F25" s="141"/>
      <c r="G25" s="126"/>
      <c r="H25" s="126"/>
      <c r="I25" s="45"/>
      <c r="J25" s="565">
        <v>48693.273430125228</v>
      </c>
      <c r="K25" s="557">
        <v>35239.624640340517</v>
      </c>
      <c r="L25" s="557">
        <v>1070.5500000000002</v>
      </c>
      <c r="M25" s="45">
        <f t="shared" si="6"/>
        <v>85003.448070465747</v>
      </c>
      <c r="N25" s="565">
        <v>49082.698175132624</v>
      </c>
      <c r="O25" s="557">
        <v>11746.541546780172</v>
      </c>
      <c r="P25" s="557">
        <v>1070.5500000000002</v>
      </c>
      <c r="Q25" s="45">
        <f t="shared" si="3"/>
        <v>61899.789721912799</v>
      </c>
      <c r="R25" s="141"/>
      <c r="S25" s="557">
        <v>3870.6678530329991</v>
      </c>
      <c r="T25" s="557">
        <v>1196.8699999999999</v>
      </c>
      <c r="U25" s="45">
        <f t="shared" si="7"/>
        <v>5067.537853032999</v>
      </c>
      <c r="V25" s="141"/>
      <c r="W25" s="557">
        <v>72866.036185076417</v>
      </c>
      <c r="X25" s="557">
        <v>1196.8699999999999</v>
      </c>
      <c r="Y25" s="45">
        <f t="shared" si="8"/>
        <v>74062.906185076412</v>
      </c>
    </row>
    <row r="26" spans="1:28">
      <c r="A26" s="153" t="s">
        <v>18</v>
      </c>
      <c r="B26" s="141"/>
      <c r="C26" s="126"/>
      <c r="D26" s="126"/>
      <c r="E26" s="45"/>
      <c r="F26" s="141"/>
      <c r="G26" s="126"/>
      <c r="H26" s="126"/>
      <c r="I26" s="45"/>
      <c r="J26" s="565">
        <v>48693.273430125228</v>
      </c>
      <c r="K26" s="557">
        <v>46986.166187120689</v>
      </c>
      <c r="L26" s="557">
        <v>1070.5500000000002</v>
      </c>
      <c r="M26" s="45">
        <f t="shared" si="6"/>
        <v>96749.989617245927</v>
      </c>
      <c r="N26" s="565">
        <v>49082.698175132624</v>
      </c>
      <c r="O26" s="557">
        <v>15662.055395706895</v>
      </c>
      <c r="P26" s="557">
        <v>1070.5500000000002</v>
      </c>
      <c r="Q26" s="45">
        <f t="shared" si="3"/>
        <v>65815.303570839518</v>
      </c>
      <c r="R26" s="141"/>
      <c r="S26" s="557">
        <v>3870.6678530329991</v>
      </c>
      <c r="T26" s="557">
        <v>1196.8699999999999</v>
      </c>
      <c r="U26" s="45">
        <f t="shared" si="7"/>
        <v>5067.537853032999</v>
      </c>
      <c r="V26" s="141"/>
      <c r="W26" s="557">
        <v>72866.036185076417</v>
      </c>
      <c r="X26" s="557">
        <v>1196.8699999999999</v>
      </c>
      <c r="Y26" s="45">
        <f t="shared" si="8"/>
        <v>74062.906185076412</v>
      </c>
    </row>
    <row r="27" spans="1:28">
      <c r="A27" s="153" t="s">
        <v>19</v>
      </c>
      <c r="B27" s="141"/>
      <c r="C27" s="126"/>
      <c r="D27" s="126"/>
      <c r="E27" s="45"/>
      <c r="F27" s="141"/>
      <c r="G27" s="126"/>
      <c r="H27" s="126"/>
      <c r="I27" s="45"/>
      <c r="J27" s="565">
        <v>48693.273430125228</v>
      </c>
      <c r="K27" s="557">
        <v>46986.166187120689</v>
      </c>
      <c r="L27" s="557">
        <v>1070.5500000000002</v>
      </c>
      <c r="M27" s="45">
        <f t="shared" si="6"/>
        <v>96749.989617245927</v>
      </c>
      <c r="N27" s="565">
        <v>49082.698175132624</v>
      </c>
      <c r="O27" s="557">
        <v>19577.569244633622</v>
      </c>
      <c r="P27" s="557">
        <v>1070.5500000000002</v>
      </c>
      <c r="Q27" s="45">
        <f t="shared" si="3"/>
        <v>69730.817419766245</v>
      </c>
      <c r="R27" s="141"/>
      <c r="S27" s="557">
        <v>3870.6678530329991</v>
      </c>
      <c r="T27" s="557">
        <v>1196.8699999999999</v>
      </c>
      <c r="U27" s="45">
        <f t="shared" si="7"/>
        <v>5067.537853032999</v>
      </c>
      <c r="V27" s="141"/>
      <c r="W27" s="557">
        <v>72866.036185076417</v>
      </c>
      <c r="X27" s="557">
        <v>1196.8699999999999</v>
      </c>
      <c r="Y27" s="45">
        <f t="shared" si="8"/>
        <v>74062.906185076412</v>
      </c>
    </row>
    <row r="28" spans="1:28">
      <c r="A28" s="153" t="s">
        <v>20</v>
      </c>
      <c r="B28" s="141"/>
      <c r="C28" s="126"/>
      <c r="D28" s="126"/>
      <c r="E28" s="45"/>
      <c r="F28" s="141"/>
      <c r="G28" s="126"/>
      <c r="H28" s="126"/>
      <c r="I28" s="45"/>
      <c r="J28" s="565">
        <v>48693.273430125228</v>
      </c>
      <c r="K28" s="557">
        <v>46986.166187120689</v>
      </c>
      <c r="L28" s="557">
        <v>1070.5500000000002</v>
      </c>
      <c r="M28" s="45">
        <f t="shared" si="6"/>
        <v>96749.989617245927</v>
      </c>
      <c r="N28" s="565">
        <v>62400.892927889297</v>
      </c>
      <c r="O28" s="557">
        <v>31324.11079141379</v>
      </c>
      <c r="P28" s="557">
        <v>1070.5500000000002</v>
      </c>
      <c r="Q28" s="45">
        <f t="shared" si="3"/>
        <v>94795.55371930309</v>
      </c>
      <c r="R28" s="141"/>
      <c r="S28" s="557">
        <v>3870.6678530329991</v>
      </c>
      <c r="T28" s="557">
        <v>1196.8699999999999</v>
      </c>
      <c r="U28" s="45">
        <f t="shared" si="7"/>
        <v>5067.537853032999</v>
      </c>
      <c r="V28" s="141"/>
      <c r="W28" s="557">
        <v>72866.036185076417</v>
      </c>
      <c r="X28" s="557">
        <v>1196.8699999999999</v>
      </c>
      <c r="Y28" s="45">
        <f t="shared" si="8"/>
        <v>74062.906185076412</v>
      </c>
    </row>
    <row r="29" spans="1:28">
      <c r="A29" s="153" t="s">
        <v>21</v>
      </c>
      <c r="B29" s="141"/>
      <c r="C29" s="126"/>
      <c r="D29" s="126"/>
      <c r="E29" s="45"/>
      <c r="F29" s="141"/>
      <c r="G29" s="126"/>
      <c r="H29" s="126"/>
      <c r="I29" s="45"/>
      <c r="J29" s="141"/>
      <c r="K29" s="126"/>
      <c r="L29" s="126"/>
      <c r="M29" s="45"/>
      <c r="N29" s="565">
        <v>68150.567841889278</v>
      </c>
      <c r="O29" s="557">
        <v>39155.138489267243</v>
      </c>
      <c r="P29" s="557">
        <v>1070.5500000000002</v>
      </c>
      <c r="Q29" s="45">
        <f t="shared" si="3"/>
        <v>108376.25633115652</v>
      </c>
      <c r="R29" s="141"/>
      <c r="S29" s="557">
        <v>3870.6678530329991</v>
      </c>
      <c r="T29" s="557">
        <v>1196.8699999999999</v>
      </c>
      <c r="U29" s="45">
        <f t="shared" si="7"/>
        <v>5067.537853032999</v>
      </c>
      <c r="V29" s="141"/>
      <c r="W29" s="557">
        <v>72866.036185076417</v>
      </c>
      <c r="X29" s="557">
        <v>1196.8699999999999</v>
      </c>
      <c r="Y29" s="45">
        <f t="shared" si="8"/>
        <v>74062.906185076412</v>
      </c>
    </row>
    <row r="30" spans="1:28">
      <c r="A30" s="153" t="s">
        <v>22</v>
      </c>
      <c r="B30" s="141"/>
      <c r="C30" s="126"/>
      <c r="D30" s="126"/>
      <c r="E30" s="45"/>
      <c r="F30" s="141"/>
      <c r="G30" s="126"/>
      <c r="H30" s="126"/>
      <c r="I30" s="45"/>
      <c r="J30" s="141"/>
      <c r="K30" s="126"/>
      <c r="L30" s="126"/>
      <c r="M30" s="45"/>
      <c r="N30" s="565">
        <v>68150.567841889278</v>
      </c>
      <c r="O30" s="557">
        <v>46986.166187120689</v>
      </c>
      <c r="P30" s="557">
        <v>1070.5500000000002</v>
      </c>
      <c r="Q30" s="45">
        <f t="shared" si="3"/>
        <v>116207.28402900997</v>
      </c>
      <c r="R30" s="141"/>
      <c r="S30" s="557">
        <v>3870.6678530329991</v>
      </c>
      <c r="T30" s="557">
        <v>1196.8699999999999</v>
      </c>
      <c r="U30" s="45">
        <f t="shared" si="7"/>
        <v>5067.537853032999</v>
      </c>
      <c r="V30" s="141"/>
      <c r="W30" s="557">
        <v>72866.036185076417</v>
      </c>
      <c r="X30" s="557">
        <v>1196.8699999999999</v>
      </c>
      <c r="Y30" s="45">
        <f t="shared" si="8"/>
        <v>74062.906185076412</v>
      </c>
    </row>
    <row r="31" spans="1:28">
      <c r="A31" s="153" t="s">
        <v>23</v>
      </c>
      <c r="B31" s="141"/>
      <c r="C31" s="126"/>
      <c r="D31" s="126"/>
      <c r="E31" s="45"/>
      <c r="F31" s="141"/>
      <c r="G31" s="126"/>
      <c r="H31" s="126"/>
      <c r="I31" s="45"/>
      <c r="J31" s="141"/>
      <c r="K31" s="126"/>
      <c r="L31" s="126"/>
      <c r="M31" s="45"/>
      <c r="N31" s="565">
        <v>68150.567841889278</v>
      </c>
      <c r="O31" s="557">
        <v>46986.166187120689</v>
      </c>
      <c r="P31" s="557">
        <v>1070.5500000000002</v>
      </c>
      <c r="Q31" s="45">
        <f t="shared" si="3"/>
        <v>116207.28402900997</v>
      </c>
      <c r="R31" s="141"/>
      <c r="S31" s="557">
        <v>9612.4995222080215</v>
      </c>
      <c r="T31" s="557">
        <v>1196.8699999999999</v>
      </c>
      <c r="U31" s="45">
        <f t="shared" si="7"/>
        <v>10809.36952220802</v>
      </c>
      <c r="V31" s="141"/>
      <c r="W31" s="557">
        <v>180957.07630025572</v>
      </c>
      <c r="X31" s="557">
        <v>1196.8699999999999</v>
      </c>
      <c r="Y31" s="45">
        <f t="shared" si="8"/>
        <v>182153.94630025572</v>
      </c>
    </row>
    <row r="32" spans="1:28">
      <c r="A32" s="153" t="s">
        <v>24</v>
      </c>
      <c r="B32" s="141"/>
      <c r="C32" s="126"/>
      <c r="D32" s="126"/>
      <c r="E32" s="45"/>
      <c r="F32" s="141"/>
      <c r="G32" s="126"/>
      <c r="H32" s="126"/>
      <c r="I32" s="45"/>
      <c r="J32" s="141"/>
      <c r="K32" s="126"/>
      <c r="L32" s="126"/>
      <c r="M32" s="45"/>
      <c r="N32" s="565">
        <v>68150.567841889278</v>
      </c>
      <c r="O32" s="557">
        <v>46986.166187120689</v>
      </c>
      <c r="P32" s="557">
        <v>1070.5500000000002</v>
      </c>
      <c r="Q32" s="45">
        <f t="shared" si="3"/>
        <v>116207.28402900997</v>
      </c>
      <c r="R32" s="141"/>
      <c r="S32" s="557">
        <v>9612.4995222080215</v>
      </c>
      <c r="T32" s="557">
        <v>1196.8699999999999</v>
      </c>
      <c r="U32" s="45">
        <f t="shared" si="7"/>
        <v>10809.36952220802</v>
      </c>
      <c r="V32" s="141"/>
      <c r="W32" s="557">
        <v>180957.07630025572</v>
      </c>
      <c r="X32" s="557">
        <v>1196.8699999999999</v>
      </c>
      <c r="Y32" s="45">
        <f t="shared" si="8"/>
        <v>182153.94630025572</v>
      </c>
      <c r="AB32" s="35"/>
    </row>
    <row r="33" spans="1:25">
      <c r="A33" s="153" t="s">
        <v>25</v>
      </c>
      <c r="B33" s="141"/>
      <c r="C33" s="126"/>
      <c r="D33" s="126"/>
      <c r="E33" s="45"/>
      <c r="F33" s="141"/>
      <c r="G33" s="126"/>
      <c r="H33" s="126"/>
      <c r="I33" s="45"/>
      <c r="J33" s="141"/>
      <c r="K33" s="126"/>
      <c r="L33" s="126"/>
      <c r="M33" s="45"/>
      <c r="N33" s="565">
        <v>68150.567841889278</v>
      </c>
      <c r="O33" s="557">
        <v>46986.166187120689</v>
      </c>
      <c r="P33" s="557">
        <v>1070.5500000000002</v>
      </c>
      <c r="Q33" s="45">
        <f t="shared" si="3"/>
        <v>116207.28402900997</v>
      </c>
      <c r="R33" s="141"/>
      <c r="S33" s="557">
        <v>9612.4995222080215</v>
      </c>
      <c r="T33" s="557">
        <v>1196.8699999999999</v>
      </c>
      <c r="U33" s="45">
        <f t="shared" si="7"/>
        <v>10809.36952220802</v>
      </c>
      <c r="V33" s="141"/>
      <c r="W33" s="557">
        <v>180957.07630025572</v>
      </c>
      <c r="X33" s="557">
        <v>1196.8699999999999</v>
      </c>
      <c r="Y33" s="45">
        <f t="shared" si="8"/>
        <v>182153.94630025572</v>
      </c>
    </row>
    <row r="34" spans="1:25">
      <c r="A34" s="153" t="s">
        <v>125</v>
      </c>
      <c r="B34" s="141"/>
      <c r="C34" s="126"/>
      <c r="D34" s="126"/>
      <c r="E34" s="45"/>
      <c r="F34" s="141"/>
      <c r="G34" s="126"/>
      <c r="H34" s="126"/>
      <c r="I34" s="45"/>
      <c r="J34" s="137"/>
      <c r="K34" s="23"/>
      <c r="L34" s="23"/>
      <c r="M34" s="45"/>
      <c r="N34" s="565">
        <v>68150.567841889278</v>
      </c>
      <c r="O34" s="557">
        <v>46986.166187120689</v>
      </c>
      <c r="P34" s="557">
        <v>1070.5500000000002</v>
      </c>
      <c r="Q34" s="45">
        <f t="shared" si="3"/>
        <v>116207.28402900997</v>
      </c>
      <c r="R34" s="141"/>
      <c r="S34" s="557">
        <v>9612.4995222080215</v>
      </c>
      <c r="T34" s="557">
        <v>1196.8699999999999</v>
      </c>
      <c r="U34" s="45">
        <f t="shared" si="7"/>
        <v>10809.36952220802</v>
      </c>
      <c r="V34" s="141"/>
      <c r="W34" s="557">
        <v>180957.07630025572</v>
      </c>
      <c r="X34" s="557">
        <v>1196.8699999999999</v>
      </c>
      <c r="Y34" s="45">
        <f t="shared" si="8"/>
        <v>182153.94630025572</v>
      </c>
    </row>
    <row r="35" spans="1:25">
      <c r="A35" s="153" t="s">
        <v>126</v>
      </c>
      <c r="B35" s="141"/>
      <c r="C35" s="126"/>
      <c r="D35" s="23"/>
      <c r="E35" s="45"/>
      <c r="F35" s="141"/>
      <c r="G35" s="126"/>
      <c r="H35" s="126"/>
      <c r="I35" s="45"/>
      <c r="J35" s="137"/>
      <c r="K35" s="23"/>
      <c r="L35" s="23"/>
      <c r="M35" s="45"/>
      <c r="N35" s="565"/>
      <c r="O35" s="126"/>
      <c r="P35" s="23"/>
      <c r="Q35" s="14"/>
      <c r="R35" s="141"/>
      <c r="S35" s="557">
        <v>9612.4995222080215</v>
      </c>
      <c r="T35" s="557">
        <v>1196.8699999999999</v>
      </c>
      <c r="U35" s="45">
        <f t="shared" si="7"/>
        <v>10809.36952220802</v>
      </c>
      <c r="V35" s="141"/>
      <c r="W35" s="557">
        <v>180957.07630025572</v>
      </c>
      <c r="X35" s="557">
        <v>1196.8699999999999</v>
      </c>
      <c r="Y35" s="45">
        <f t="shared" si="8"/>
        <v>182153.94630025572</v>
      </c>
    </row>
    <row r="36" spans="1:25">
      <c r="A36" s="153" t="s">
        <v>26</v>
      </c>
      <c r="B36" s="141"/>
      <c r="C36" s="126"/>
      <c r="D36" s="23"/>
      <c r="E36" s="45"/>
      <c r="F36" s="141"/>
      <c r="G36" s="126"/>
      <c r="H36" s="126"/>
      <c r="I36" s="45"/>
      <c r="J36" s="137"/>
      <c r="K36" s="23"/>
      <c r="L36" s="23"/>
      <c r="M36" s="45"/>
      <c r="N36" s="141"/>
      <c r="O36" s="126"/>
      <c r="P36" s="23"/>
      <c r="Q36" s="14"/>
      <c r="R36" s="141"/>
      <c r="S36" s="557">
        <v>9612.4995222080215</v>
      </c>
      <c r="T36" s="557">
        <v>1196.8699999999999</v>
      </c>
      <c r="U36" s="45">
        <f t="shared" si="7"/>
        <v>10809.36952220802</v>
      </c>
      <c r="V36" s="141"/>
      <c r="W36" s="557">
        <v>180957.07630025572</v>
      </c>
      <c r="X36" s="557">
        <v>1196.8699999999999</v>
      </c>
      <c r="Y36" s="45">
        <f t="shared" si="8"/>
        <v>182153.94630025572</v>
      </c>
    </row>
    <row r="37" spans="1:25">
      <c r="A37" s="153" t="s">
        <v>27</v>
      </c>
      <c r="B37" s="141"/>
      <c r="C37" s="126"/>
      <c r="D37" s="13"/>
      <c r="E37" s="14"/>
      <c r="F37" s="141"/>
      <c r="G37" s="126"/>
      <c r="H37" s="126"/>
      <c r="I37" s="14"/>
      <c r="J37" s="135"/>
      <c r="K37" s="13"/>
      <c r="L37" s="13"/>
      <c r="M37" s="14"/>
      <c r="N37" s="141"/>
      <c r="O37" s="126"/>
      <c r="P37" s="13"/>
      <c r="Q37" s="14"/>
      <c r="R37" s="141"/>
      <c r="S37" s="557">
        <v>9612.4995222080215</v>
      </c>
      <c r="T37" s="557">
        <v>1196.8699999999999</v>
      </c>
      <c r="U37" s="45">
        <f t="shared" si="7"/>
        <v>10809.36952220802</v>
      </c>
      <c r="V37" s="141"/>
      <c r="W37" s="557">
        <v>180957.07630025572</v>
      </c>
      <c r="X37" s="557">
        <v>1196.8699999999999</v>
      </c>
      <c r="Y37" s="45">
        <f t="shared" si="8"/>
        <v>182153.94630025572</v>
      </c>
    </row>
    <row r="38" spans="1:25" ht="13.5" thickBot="1">
      <c r="A38" s="243"/>
      <c r="B38" s="15"/>
      <c r="C38" s="32"/>
      <c r="D38" s="32"/>
      <c r="E38" s="106"/>
      <c r="F38" s="15"/>
      <c r="G38" s="32"/>
      <c r="H38" s="32"/>
      <c r="I38" s="106"/>
      <c r="J38" s="15"/>
      <c r="K38" s="32"/>
      <c r="L38" s="32"/>
      <c r="M38" s="106"/>
      <c r="N38" s="274"/>
      <c r="O38" s="275"/>
      <c r="P38" s="32"/>
      <c r="Q38" s="106"/>
      <c r="R38" s="274"/>
      <c r="S38" s="275"/>
      <c r="T38" s="32"/>
      <c r="U38" s="106"/>
      <c r="V38" s="274"/>
      <c r="W38" s="275"/>
      <c r="X38" s="32"/>
      <c r="Y38" s="106"/>
    </row>
    <row r="39" spans="1:25">
      <c r="A39" s="149"/>
      <c r="B39" s="320"/>
      <c r="C39" s="320"/>
      <c r="D39" s="320"/>
      <c r="E39" s="320"/>
      <c r="F39" s="320"/>
      <c r="G39" s="320"/>
      <c r="H39" s="320"/>
      <c r="I39" s="320"/>
      <c r="J39" s="320"/>
      <c r="K39" s="320"/>
      <c r="L39" s="320"/>
      <c r="M39" s="320"/>
      <c r="N39" s="320"/>
      <c r="O39" s="320"/>
      <c r="P39" s="320"/>
      <c r="Q39" s="320"/>
      <c r="R39" s="320"/>
      <c r="S39" s="320"/>
      <c r="T39" s="320"/>
      <c r="U39" s="320"/>
      <c r="V39" s="320"/>
      <c r="W39" s="320"/>
      <c r="X39" s="320"/>
      <c r="Y39" s="575"/>
    </row>
    <row r="40" spans="1:25">
      <c r="A40" s="33" t="s">
        <v>448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01"/>
    </row>
    <row r="41" spans="1:25">
      <c r="A41" s="33"/>
      <c r="B41" s="600" t="s">
        <v>426</v>
      </c>
      <c r="C41" s="248"/>
      <c r="D41" s="248"/>
      <c r="E41" s="248"/>
      <c r="F41" s="248"/>
      <c r="G41" s="248"/>
      <c r="H41" s="248"/>
      <c r="I41" s="248"/>
      <c r="J41" s="248"/>
      <c r="K41" s="248"/>
      <c r="L41" s="248"/>
      <c r="M41" s="248"/>
      <c r="N41" s="248"/>
      <c r="O41" s="248"/>
      <c r="P41" s="248"/>
      <c r="Q41" s="248"/>
      <c r="R41" s="248"/>
      <c r="S41" s="248"/>
      <c r="T41" s="248"/>
      <c r="U41" s="248"/>
      <c r="V41" s="12"/>
      <c r="W41" s="248"/>
      <c r="X41" s="248"/>
      <c r="Y41" s="601"/>
    </row>
    <row r="42" spans="1:25" ht="13.5" thickBot="1">
      <c r="A42" s="15"/>
      <c r="B42" s="597" t="s">
        <v>375</v>
      </c>
      <c r="C42" s="583"/>
      <c r="D42" s="583"/>
      <c r="E42" s="583"/>
      <c r="F42" s="583"/>
      <c r="G42" s="583"/>
      <c r="H42" s="583"/>
      <c r="I42" s="583"/>
      <c r="J42" s="583"/>
      <c r="K42" s="583"/>
      <c r="L42" s="583"/>
      <c r="M42" s="583"/>
      <c r="N42" s="583"/>
      <c r="O42" s="583"/>
      <c r="P42" s="583"/>
      <c r="Q42" s="583"/>
      <c r="R42" s="583"/>
      <c r="S42" s="583"/>
      <c r="T42" s="583"/>
      <c r="U42" s="583"/>
      <c r="V42" s="32"/>
      <c r="W42" s="583"/>
      <c r="X42" s="583"/>
      <c r="Y42" s="586"/>
    </row>
    <row r="43" spans="1:25">
      <c r="B43" s="544"/>
      <c r="C43" s="544"/>
      <c r="D43" s="544"/>
      <c r="E43" s="544"/>
      <c r="F43" s="544"/>
      <c r="G43" s="544"/>
      <c r="H43" s="544"/>
      <c r="I43" s="544"/>
      <c r="J43" s="544"/>
      <c r="K43" s="544"/>
      <c r="L43" s="544"/>
      <c r="M43" s="544"/>
      <c r="N43" s="544"/>
      <c r="O43" s="544"/>
      <c r="P43" s="544"/>
      <c r="Q43" s="544"/>
      <c r="R43" s="544"/>
      <c r="S43" s="544"/>
      <c r="T43" s="544"/>
      <c r="U43" s="544"/>
      <c r="W43" s="544"/>
      <c r="X43" s="544"/>
      <c r="Y43" s="544"/>
    </row>
    <row r="44" spans="1:25">
      <c r="B44" s="544"/>
      <c r="C44" s="544"/>
      <c r="D44" s="544"/>
      <c r="E44" s="544"/>
      <c r="F44" s="544"/>
      <c r="G44" s="544"/>
      <c r="H44" s="544"/>
      <c r="I44" s="544"/>
      <c r="J44" s="544"/>
      <c r="K44" s="544"/>
      <c r="L44" s="544"/>
      <c r="M44" s="544"/>
      <c r="N44" s="544"/>
      <c r="O44" s="544"/>
      <c r="P44" s="544"/>
      <c r="Q44" s="544"/>
      <c r="R44" s="544"/>
      <c r="S44" s="544"/>
      <c r="T44" s="544"/>
      <c r="U44" s="544"/>
      <c r="W44" s="544"/>
      <c r="X44" s="544"/>
      <c r="Y44" s="544"/>
    </row>
    <row r="45" spans="1:25">
      <c r="B45" s="544"/>
      <c r="C45" s="544"/>
      <c r="D45" s="544"/>
      <c r="E45" s="544"/>
      <c r="F45" s="544"/>
      <c r="G45" s="544"/>
      <c r="H45" s="544"/>
      <c r="I45" s="544"/>
      <c r="J45" s="544"/>
      <c r="K45" s="544"/>
      <c r="L45" s="544"/>
      <c r="M45" s="544"/>
      <c r="N45" s="544"/>
      <c r="O45" s="544"/>
      <c r="P45" s="544"/>
      <c r="Q45" s="544"/>
      <c r="R45" s="544"/>
      <c r="S45" s="544"/>
      <c r="T45" s="544"/>
      <c r="U45" s="544"/>
      <c r="W45" s="544"/>
      <c r="X45" s="544"/>
      <c r="Y45" s="544"/>
    </row>
    <row r="46" spans="1:25">
      <c r="B46" s="544"/>
      <c r="C46" s="544"/>
      <c r="D46" s="544"/>
      <c r="E46" s="544"/>
      <c r="F46" s="544"/>
      <c r="G46" s="544"/>
      <c r="H46" s="544"/>
      <c r="I46" s="544"/>
      <c r="J46" s="544"/>
      <c r="K46" s="544"/>
      <c r="L46" s="544"/>
      <c r="M46" s="544"/>
      <c r="N46" s="544"/>
      <c r="O46" s="544"/>
      <c r="P46" s="544"/>
      <c r="Q46" s="544"/>
      <c r="R46" s="544"/>
      <c r="S46" s="544"/>
      <c r="T46" s="544"/>
      <c r="U46" s="544"/>
      <c r="W46" s="544"/>
      <c r="X46" s="544"/>
      <c r="Y46" s="544"/>
    </row>
    <row r="47" spans="1:25" ht="15.75">
      <c r="B47" s="544"/>
      <c r="C47" s="544"/>
      <c r="D47" s="566"/>
      <c r="E47" s="544"/>
      <c r="F47" s="544"/>
      <c r="G47" s="544"/>
      <c r="H47" s="544"/>
      <c r="I47" s="544"/>
      <c r="J47" s="544"/>
      <c r="K47" s="544"/>
      <c r="L47" s="544"/>
      <c r="M47" s="544"/>
      <c r="N47" s="544"/>
      <c r="O47" s="544"/>
      <c r="P47" s="544"/>
      <c r="Q47" s="544"/>
      <c r="R47" s="544"/>
      <c r="S47" s="544"/>
      <c r="T47" s="544"/>
      <c r="U47" s="544"/>
      <c r="W47" s="544"/>
      <c r="X47" s="544"/>
      <c r="Y47" s="544"/>
    </row>
    <row r="48" spans="1:25">
      <c r="B48" s="544"/>
      <c r="C48" s="544"/>
      <c r="D48" s="544"/>
      <c r="E48" s="544"/>
      <c r="F48" s="544"/>
      <c r="G48" s="544"/>
      <c r="H48" s="544"/>
      <c r="I48" s="544"/>
      <c r="J48" s="544"/>
      <c r="K48" s="544"/>
      <c r="L48" s="544"/>
      <c r="M48" s="544"/>
      <c r="N48" s="544"/>
      <c r="O48" s="544"/>
      <c r="P48" s="544"/>
      <c r="Q48" s="544"/>
      <c r="R48" s="544"/>
      <c r="S48" s="544"/>
      <c r="T48" s="544"/>
      <c r="U48" s="544"/>
      <c r="W48" s="544"/>
      <c r="X48" s="544"/>
      <c r="Y48" s="544"/>
    </row>
    <row r="49" spans="2:25">
      <c r="B49" s="544"/>
      <c r="C49" s="544"/>
      <c r="D49" s="544"/>
      <c r="E49" s="544"/>
      <c r="F49" s="544"/>
      <c r="G49" s="544"/>
      <c r="H49" s="544"/>
      <c r="I49" s="544"/>
      <c r="J49" s="544"/>
      <c r="K49" s="544"/>
      <c r="L49" s="544"/>
      <c r="M49" s="544"/>
      <c r="N49" s="544"/>
      <c r="O49" s="544"/>
      <c r="P49" s="544"/>
      <c r="Q49" s="544"/>
      <c r="R49" s="544"/>
      <c r="S49" s="544"/>
      <c r="T49" s="544"/>
      <c r="U49" s="544"/>
      <c r="W49" s="544"/>
      <c r="X49" s="544"/>
      <c r="Y49" s="544"/>
    </row>
    <row r="50" spans="2:25">
      <c r="E50" s="543"/>
      <c r="F50" s="544"/>
      <c r="G50" s="544"/>
      <c r="H50" s="544"/>
      <c r="I50" s="544"/>
      <c r="J50" s="544"/>
      <c r="K50" s="544"/>
      <c r="L50" s="544"/>
      <c r="M50" s="544"/>
      <c r="N50" s="544"/>
      <c r="O50" s="544"/>
      <c r="P50" s="544"/>
      <c r="Q50" s="544"/>
      <c r="R50" s="544"/>
      <c r="S50" s="544"/>
      <c r="T50" s="544"/>
      <c r="U50" s="544"/>
      <c r="W50" s="544"/>
      <c r="X50" s="544"/>
      <c r="Y50" s="544"/>
    </row>
    <row r="51" spans="2:25">
      <c r="E51" s="543"/>
      <c r="F51" s="544"/>
      <c r="G51" s="544"/>
      <c r="H51" s="544"/>
      <c r="I51" s="544"/>
      <c r="J51" s="544"/>
      <c r="K51" s="544"/>
      <c r="L51" s="544"/>
      <c r="M51" s="544"/>
      <c r="N51" s="544"/>
      <c r="O51" s="544"/>
      <c r="P51" s="544"/>
      <c r="Q51" s="544"/>
      <c r="R51" s="544"/>
      <c r="S51" s="544"/>
      <c r="T51" s="544"/>
      <c r="U51" s="544"/>
      <c r="W51" s="544"/>
      <c r="X51" s="544"/>
      <c r="Y51" s="544"/>
    </row>
    <row r="52" spans="2:25">
      <c r="I52" s="543"/>
      <c r="J52" s="544"/>
      <c r="K52" s="544"/>
      <c r="L52" s="544"/>
      <c r="M52" s="544"/>
      <c r="N52" s="544"/>
      <c r="O52" s="544"/>
      <c r="P52" s="544"/>
      <c r="Q52" s="544"/>
      <c r="R52" s="544"/>
      <c r="S52" s="544"/>
      <c r="T52" s="544"/>
      <c r="U52" s="544"/>
      <c r="W52" s="544"/>
      <c r="X52" s="544"/>
      <c r="Y52" s="544"/>
    </row>
    <row r="53" spans="2:25">
      <c r="I53" s="543"/>
      <c r="J53" s="544"/>
      <c r="K53" s="544"/>
      <c r="L53" s="544"/>
      <c r="M53" s="544"/>
      <c r="N53" s="544"/>
      <c r="O53" s="544"/>
      <c r="P53" s="544"/>
      <c r="Q53" s="544"/>
      <c r="R53" s="544"/>
      <c r="S53" s="544"/>
      <c r="T53" s="544"/>
      <c r="U53" s="544"/>
      <c r="W53" s="544"/>
      <c r="X53" s="544"/>
      <c r="Y53" s="544"/>
    </row>
    <row r="54" spans="2:25">
      <c r="I54" s="543"/>
      <c r="J54" s="544"/>
      <c r="K54" s="544"/>
      <c r="L54" s="544"/>
      <c r="M54" s="544"/>
      <c r="N54" s="544"/>
      <c r="O54" s="544"/>
      <c r="P54" s="544"/>
      <c r="Q54" s="544"/>
      <c r="R54" s="544"/>
      <c r="S54" s="544"/>
      <c r="T54" s="544"/>
      <c r="U54" s="544"/>
      <c r="W54" s="544"/>
      <c r="X54" s="544"/>
      <c r="Y54" s="544"/>
    </row>
    <row r="55" spans="2:25">
      <c r="I55" s="543"/>
      <c r="J55" s="544"/>
      <c r="K55" s="544"/>
      <c r="L55" s="544"/>
      <c r="M55" s="544"/>
      <c r="N55" s="544"/>
      <c r="O55" s="544"/>
      <c r="P55" s="544"/>
      <c r="Q55" s="544"/>
      <c r="R55" s="544"/>
      <c r="S55" s="544"/>
      <c r="T55" s="544"/>
      <c r="U55" s="544"/>
      <c r="W55" s="544"/>
      <c r="X55" s="544"/>
      <c r="Y55" s="544"/>
    </row>
    <row r="56" spans="2:25">
      <c r="I56" s="543"/>
      <c r="J56" s="544"/>
      <c r="K56" s="544"/>
      <c r="L56" s="544"/>
      <c r="M56" s="544"/>
      <c r="N56" s="544"/>
      <c r="O56" s="544"/>
      <c r="P56" s="544"/>
      <c r="Q56" s="544"/>
      <c r="R56" s="544"/>
      <c r="S56" s="544"/>
      <c r="T56" s="544"/>
      <c r="U56" s="544"/>
      <c r="W56" s="544"/>
      <c r="X56" s="544"/>
      <c r="Y56" s="544"/>
    </row>
    <row r="57" spans="2:25">
      <c r="I57" s="543"/>
      <c r="J57" s="544"/>
      <c r="K57" s="544"/>
      <c r="L57" s="544"/>
      <c r="M57" s="544"/>
      <c r="N57" s="544"/>
      <c r="O57" s="544"/>
      <c r="P57" s="544"/>
      <c r="Q57" s="544"/>
      <c r="R57" s="544"/>
      <c r="S57" s="544"/>
      <c r="T57" s="544"/>
      <c r="U57" s="544"/>
      <c r="W57" s="544"/>
      <c r="X57" s="544"/>
      <c r="Y57" s="544"/>
    </row>
    <row r="58" spans="2:25">
      <c r="I58" s="543"/>
      <c r="J58" s="544"/>
      <c r="K58" s="544"/>
      <c r="L58" s="544"/>
      <c r="M58" s="544"/>
      <c r="N58" s="544"/>
      <c r="O58" s="544"/>
      <c r="P58" s="544"/>
      <c r="Q58" s="544"/>
      <c r="R58" s="544"/>
      <c r="S58" s="544"/>
      <c r="T58" s="544"/>
      <c r="U58" s="544"/>
      <c r="W58" s="544"/>
      <c r="X58" s="544"/>
      <c r="Y58" s="544"/>
    </row>
    <row r="59" spans="2:25">
      <c r="I59" s="543"/>
      <c r="J59" s="544"/>
      <c r="K59" s="544"/>
      <c r="L59" s="544"/>
      <c r="M59" s="544"/>
      <c r="N59" s="544"/>
      <c r="O59" s="544"/>
      <c r="P59" s="544"/>
      <c r="Q59" s="544"/>
      <c r="R59" s="544"/>
      <c r="S59" s="544"/>
      <c r="T59" s="544"/>
      <c r="U59" s="544"/>
      <c r="W59" s="544"/>
      <c r="X59" s="544"/>
      <c r="Y59" s="544"/>
    </row>
    <row r="60" spans="2:25">
      <c r="I60" s="543"/>
      <c r="J60" s="544"/>
      <c r="K60" s="544"/>
      <c r="L60" s="544"/>
      <c r="M60" s="544"/>
      <c r="N60" s="544"/>
      <c r="O60" s="544"/>
      <c r="P60" s="544"/>
      <c r="Q60" s="544"/>
      <c r="R60" s="544"/>
      <c r="S60" s="544"/>
      <c r="T60" s="544"/>
      <c r="U60" s="544"/>
      <c r="W60" s="544"/>
      <c r="X60" s="544"/>
      <c r="Y60" s="544"/>
    </row>
    <row r="61" spans="2:25">
      <c r="J61" s="544"/>
      <c r="K61" s="544"/>
      <c r="L61" s="544"/>
      <c r="M61" s="544"/>
      <c r="N61" s="544"/>
      <c r="O61" s="544"/>
      <c r="P61" s="544"/>
      <c r="Q61" s="544"/>
      <c r="R61" s="544"/>
      <c r="S61" s="544"/>
      <c r="T61" s="544"/>
      <c r="U61" s="544"/>
      <c r="W61" s="544"/>
      <c r="X61" s="544"/>
      <c r="Y61" s="544"/>
    </row>
    <row r="62" spans="2:25">
      <c r="J62" s="544"/>
      <c r="K62" s="544"/>
      <c r="L62" s="544"/>
      <c r="M62" s="544"/>
      <c r="N62" s="544"/>
      <c r="O62" s="544"/>
      <c r="P62" s="544"/>
      <c r="Q62" s="544"/>
      <c r="R62" s="544"/>
      <c r="S62" s="544"/>
      <c r="T62" s="544"/>
      <c r="U62" s="544"/>
      <c r="W62" s="544"/>
      <c r="X62" s="544"/>
      <c r="Y62" s="544"/>
    </row>
    <row r="63" spans="2:25">
      <c r="M63" s="543"/>
      <c r="N63" s="544"/>
      <c r="O63" s="544"/>
      <c r="P63" s="544"/>
      <c r="Q63" s="544"/>
      <c r="R63" s="544"/>
      <c r="S63" s="544"/>
      <c r="T63" s="544"/>
      <c r="U63" s="544"/>
      <c r="W63" s="544"/>
      <c r="X63" s="544"/>
      <c r="Y63" s="544"/>
    </row>
    <row r="64" spans="2:25">
      <c r="M64" s="543"/>
      <c r="Q64" s="543"/>
      <c r="R64" s="544"/>
      <c r="S64" s="544"/>
      <c r="T64" s="544"/>
      <c r="U64" s="544"/>
      <c r="W64" s="544"/>
      <c r="X64" s="544"/>
      <c r="Y64" s="544"/>
    </row>
    <row r="65" spans="17:25">
      <c r="Q65" s="543"/>
      <c r="R65" s="544"/>
      <c r="S65" s="544"/>
      <c r="T65" s="544"/>
      <c r="U65" s="544"/>
      <c r="W65" s="544"/>
      <c r="X65" s="544"/>
      <c r="Y65" s="544"/>
    </row>
    <row r="66" spans="17:25">
      <c r="Q66" s="543"/>
      <c r="R66" s="544"/>
      <c r="S66" s="544"/>
      <c r="T66" s="544"/>
      <c r="U66" s="544"/>
      <c r="W66" s="544"/>
      <c r="X66" s="544"/>
      <c r="Y66" s="544"/>
    </row>
    <row r="67" spans="17:25">
      <c r="R67" s="544"/>
      <c r="S67" s="544"/>
      <c r="T67" s="544"/>
      <c r="U67" s="544"/>
      <c r="W67" s="544"/>
      <c r="X67" s="544"/>
      <c r="Y67" s="544"/>
    </row>
    <row r="68" spans="17:25">
      <c r="R68" s="544"/>
      <c r="S68" s="544"/>
      <c r="T68" s="544"/>
      <c r="U68" s="544"/>
      <c r="W68" s="544"/>
      <c r="X68" s="544"/>
      <c r="Y68" s="544"/>
    </row>
    <row r="69" spans="17:25">
      <c r="R69" s="544"/>
      <c r="S69" s="544"/>
      <c r="T69" s="544"/>
      <c r="U69" s="544"/>
      <c r="W69" s="544"/>
      <c r="X69" s="544"/>
      <c r="Y69" s="544"/>
    </row>
    <row r="70" spans="17:25">
      <c r="R70" s="544"/>
      <c r="S70" s="544"/>
      <c r="T70" s="544"/>
      <c r="U70" s="544"/>
      <c r="W70" s="544"/>
      <c r="X70" s="544"/>
      <c r="Y70" s="544"/>
    </row>
    <row r="71" spans="17:25">
      <c r="R71" s="544"/>
      <c r="S71" s="544"/>
      <c r="T71" s="544"/>
      <c r="U71" s="544"/>
      <c r="W71" s="544"/>
      <c r="X71" s="544"/>
      <c r="Y71" s="544"/>
    </row>
    <row r="72" spans="17:25">
      <c r="U72" s="543"/>
    </row>
    <row r="73" spans="17:25">
      <c r="U73" s="543"/>
    </row>
  </sheetData>
  <mergeCells count="10">
    <mergeCell ref="A1:Y1"/>
    <mergeCell ref="B2:Q2"/>
    <mergeCell ref="R2:U2"/>
    <mergeCell ref="V2:Y2"/>
    <mergeCell ref="B3:E3"/>
    <mergeCell ref="F3:I3"/>
    <mergeCell ref="J3:M3"/>
    <mergeCell ref="N3:Q3"/>
    <mergeCell ref="R3:U3"/>
    <mergeCell ref="V3:Y3"/>
  </mergeCells>
  <printOptions horizontalCentered="1"/>
  <pageMargins left="0.75" right="0.75" top="1" bottom="1" header="0.5" footer="0.5"/>
  <pageSetup scale="44" orientation="portrait" r:id="rId1"/>
  <headerFooter alignWithMargins="0">
    <oddFooter>&amp;L&amp;F
&amp;A&amp;R&amp;P of &amp;N</oddFooter>
  </headerFooter>
  <colBreaks count="1" manualBreakCount="1">
    <brk id="13" max="40" man="1"/>
  </colBreaks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100-000000000000}">
  <sheetPr codeName="Sheet65">
    <tabColor rgb="FF333333"/>
  </sheetPr>
  <dimension ref="A1:AB73"/>
  <sheetViews>
    <sheetView topLeftCell="A2" zoomScaleNormal="100" workbookViewId="0">
      <pane xSplit="1" topLeftCell="J1" activePane="topRight" state="frozen"/>
      <selection activeCell="D15" sqref="D15"/>
      <selection pane="topRight" activeCell="W7" sqref="W7"/>
    </sheetView>
  </sheetViews>
  <sheetFormatPr defaultRowHeight="12.75"/>
  <cols>
    <col min="1" max="1" width="27" customWidth="1"/>
    <col min="2" max="17" width="12.7109375" customWidth="1"/>
    <col min="18" max="18" width="12.85546875" bestFit="1" customWidth="1"/>
    <col min="22" max="22" width="12.85546875" bestFit="1" customWidth="1"/>
    <col min="23" max="23" width="11.28515625" bestFit="1" customWidth="1"/>
    <col min="24" max="24" width="7.28515625" bestFit="1" customWidth="1"/>
    <col min="25" max="25" width="8.7109375" bestFit="1" customWidth="1"/>
    <col min="28" max="28" width="11.28515625" bestFit="1" customWidth="1"/>
  </cols>
  <sheetData>
    <row r="1" spans="1:28" ht="18.75" thickBot="1">
      <c r="A1" s="849" t="s">
        <v>253</v>
      </c>
      <c r="B1" s="826"/>
      <c r="C1" s="826"/>
      <c r="D1" s="826"/>
      <c r="E1" s="826"/>
      <c r="F1" s="826"/>
      <c r="G1" s="826"/>
      <c r="H1" s="826"/>
      <c r="I1" s="826"/>
      <c r="J1" s="826"/>
      <c r="K1" s="826"/>
      <c r="L1" s="826"/>
      <c r="M1" s="826"/>
      <c r="N1" s="826"/>
      <c r="O1" s="826"/>
      <c r="P1" s="826"/>
      <c r="Q1" s="826"/>
      <c r="R1" s="826"/>
      <c r="S1" s="826"/>
      <c r="T1" s="826"/>
      <c r="U1" s="826"/>
      <c r="V1" s="826"/>
      <c r="W1" s="826"/>
      <c r="X1" s="826"/>
      <c r="Y1" s="826"/>
    </row>
    <row r="2" spans="1:28" ht="13.5" thickBot="1">
      <c r="A2" s="131"/>
      <c r="B2" s="834" t="s">
        <v>0</v>
      </c>
      <c r="C2" s="835"/>
      <c r="D2" s="835"/>
      <c r="E2" s="835"/>
      <c r="F2" s="835"/>
      <c r="G2" s="835"/>
      <c r="H2" s="835"/>
      <c r="I2" s="835"/>
      <c r="J2" s="835"/>
      <c r="K2" s="835"/>
      <c r="L2" s="835"/>
      <c r="M2" s="835"/>
      <c r="N2" s="835"/>
      <c r="O2" s="835"/>
      <c r="P2" s="835"/>
      <c r="Q2" s="835"/>
      <c r="R2" s="836"/>
      <c r="S2" s="830"/>
      <c r="T2" s="830"/>
      <c r="U2" s="831"/>
      <c r="V2" s="836"/>
      <c r="W2" s="830"/>
      <c r="X2" s="830"/>
      <c r="Y2" s="831"/>
    </row>
    <row r="3" spans="1:28" ht="13.5" thickBot="1">
      <c r="A3" s="196"/>
      <c r="B3" s="834" t="s">
        <v>127</v>
      </c>
      <c r="C3" s="835"/>
      <c r="D3" s="835"/>
      <c r="E3" s="837"/>
      <c r="F3" s="834" t="s">
        <v>114</v>
      </c>
      <c r="G3" s="835"/>
      <c r="H3" s="835"/>
      <c r="I3" s="837"/>
      <c r="J3" s="834" t="s">
        <v>33</v>
      </c>
      <c r="K3" s="835"/>
      <c r="L3" s="835"/>
      <c r="M3" s="837"/>
      <c r="N3" s="827" t="s">
        <v>34</v>
      </c>
      <c r="O3" s="828"/>
      <c r="P3" s="828"/>
      <c r="Q3" s="828"/>
      <c r="R3" s="838" t="s">
        <v>1</v>
      </c>
      <c r="S3" s="839"/>
      <c r="T3" s="839"/>
      <c r="U3" s="840"/>
      <c r="V3" s="838" t="s">
        <v>99</v>
      </c>
      <c r="W3" s="839"/>
      <c r="X3" s="839"/>
      <c r="Y3" s="840"/>
    </row>
    <row r="4" spans="1:28" ht="13.5" thickBot="1">
      <c r="A4" s="102" t="s">
        <v>4</v>
      </c>
      <c r="B4" s="2" t="s">
        <v>36</v>
      </c>
      <c r="C4" s="3" t="s">
        <v>37</v>
      </c>
      <c r="D4" s="3" t="s">
        <v>38</v>
      </c>
      <c r="E4" s="4" t="s">
        <v>2</v>
      </c>
      <c r="F4" s="2" t="s">
        <v>36</v>
      </c>
      <c r="G4" s="3" t="s">
        <v>37</v>
      </c>
      <c r="H4" s="3" t="s">
        <v>38</v>
      </c>
      <c r="I4" s="4" t="s">
        <v>2</v>
      </c>
      <c r="J4" s="2" t="s">
        <v>36</v>
      </c>
      <c r="K4" s="3" t="s">
        <v>37</v>
      </c>
      <c r="L4" s="3" t="s">
        <v>38</v>
      </c>
      <c r="M4" s="4" t="s">
        <v>2</v>
      </c>
      <c r="N4" s="2" t="s">
        <v>36</v>
      </c>
      <c r="O4" s="3" t="s">
        <v>37</v>
      </c>
      <c r="P4" s="3" t="s">
        <v>38</v>
      </c>
      <c r="Q4" s="4" t="s">
        <v>2</v>
      </c>
      <c r="R4" s="293" t="s">
        <v>36</v>
      </c>
      <c r="S4" s="294" t="s">
        <v>37</v>
      </c>
      <c r="T4" s="294" t="s">
        <v>38</v>
      </c>
      <c r="U4" s="4" t="s">
        <v>2</v>
      </c>
      <c r="V4" s="465" t="s">
        <v>36</v>
      </c>
      <c r="W4" s="466" t="s">
        <v>37</v>
      </c>
      <c r="X4" s="466" t="s">
        <v>38</v>
      </c>
      <c r="Y4" s="467" t="s">
        <v>2</v>
      </c>
    </row>
    <row r="5" spans="1:28">
      <c r="A5" s="133"/>
      <c r="B5" s="5" t="s">
        <v>44</v>
      </c>
      <c r="C5" s="6" t="s">
        <v>44</v>
      </c>
      <c r="D5" s="6" t="s">
        <v>44</v>
      </c>
      <c r="E5" s="7" t="s">
        <v>44</v>
      </c>
      <c r="F5" s="5" t="s">
        <v>44</v>
      </c>
      <c r="G5" s="6" t="s">
        <v>44</v>
      </c>
      <c r="H5" s="6" t="s">
        <v>44</v>
      </c>
      <c r="I5" s="7" t="s">
        <v>44</v>
      </c>
      <c r="J5" s="5" t="s">
        <v>44</v>
      </c>
      <c r="K5" s="6" t="s">
        <v>44</v>
      </c>
      <c r="L5" s="6" t="s">
        <v>44</v>
      </c>
      <c r="M5" s="9" t="s">
        <v>44</v>
      </c>
      <c r="N5" s="132" t="s">
        <v>44</v>
      </c>
      <c r="O5" s="6" t="s">
        <v>44</v>
      </c>
      <c r="P5" s="6" t="s">
        <v>44</v>
      </c>
      <c r="Q5" s="7" t="s">
        <v>44</v>
      </c>
      <c r="R5" s="132" t="s">
        <v>44</v>
      </c>
      <c r="S5" s="6" t="s">
        <v>44</v>
      </c>
      <c r="T5" s="6" t="s">
        <v>44</v>
      </c>
      <c r="U5" s="7" t="s">
        <v>44</v>
      </c>
      <c r="V5" s="132" t="s">
        <v>44</v>
      </c>
      <c r="W5" s="6" t="s">
        <v>44</v>
      </c>
      <c r="X5" s="6" t="s">
        <v>44</v>
      </c>
      <c r="Y5" s="7" t="s">
        <v>44</v>
      </c>
    </row>
    <row r="6" spans="1:28">
      <c r="A6" s="112"/>
      <c r="B6" s="132"/>
      <c r="C6" s="8"/>
      <c r="D6" s="8"/>
      <c r="E6" s="9"/>
      <c r="F6" s="132"/>
      <c r="G6" s="8"/>
      <c r="H6" s="8"/>
      <c r="I6" s="9"/>
      <c r="J6" s="132"/>
      <c r="K6" s="8"/>
      <c r="L6" s="8"/>
      <c r="M6" s="9"/>
      <c r="N6" s="132"/>
      <c r="O6" s="8"/>
      <c r="P6" s="8"/>
      <c r="Q6" s="9"/>
      <c r="R6" s="132"/>
      <c r="S6" s="8"/>
      <c r="T6" s="8"/>
      <c r="U6" s="9"/>
      <c r="V6" s="132"/>
      <c r="W6" s="8"/>
      <c r="X6" s="8"/>
      <c r="Y6" s="9"/>
    </row>
    <row r="7" spans="1:28">
      <c r="A7" s="153" t="s">
        <v>5</v>
      </c>
      <c r="B7" s="565">
        <f>'Non-Residential TSM UC'!B7*(Inputs!$C$21)</f>
        <v>291.03048556553597</v>
      </c>
      <c r="C7" s="557">
        <f>'Non-Residential TSM UC'!C7*(Inputs!$C$21)</f>
        <v>112.16712195266035</v>
      </c>
      <c r="D7" s="557">
        <f>'Non-Residential TSM UC'!D7*(Inputs!$C$21)</f>
        <v>234.29973156037588</v>
      </c>
      <c r="E7" s="45">
        <f>SUM(B7:D7)</f>
        <v>637.49733907857217</v>
      </c>
      <c r="F7" s="565">
        <f>'Non-Residential TSM UC'!F7*(Inputs!$C$21)</f>
        <v>336.13644267607185</v>
      </c>
      <c r="G7" s="557">
        <f>'Non-Residential TSM UC'!G7*(Inputs!$C$21)</f>
        <v>609.82032510065369</v>
      </c>
      <c r="H7" s="557">
        <f>'Non-Residential TSM UC'!H7*(Inputs!$C$21)</f>
        <v>301.76349896014176</v>
      </c>
      <c r="I7" s="45">
        <f>SUM(F7:H7)</f>
        <v>1247.7202667368674</v>
      </c>
      <c r="J7" s="565">
        <f>'Non-Residential TSM UC'!J7*(Inputs!$C$21)</f>
        <v>353.435592370667</v>
      </c>
      <c r="K7" s="557">
        <f>'Non-Residential TSM UC'!K7*(Inputs!$C$21)</f>
        <v>609.82032510065369</v>
      </c>
      <c r="L7" s="557">
        <f>'Non-Residential TSM UC'!L7*(Inputs!$C$21)</f>
        <v>301.76349896014176</v>
      </c>
      <c r="M7" s="45">
        <f>SUM(J7:L7)</f>
        <v>1265.0194164314626</v>
      </c>
      <c r="N7" s="565">
        <f>'Non-Residential TSM UC'!N7*(Inputs!$C$21)</f>
        <v>416.91391779598956</v>
      </c>
      <c r="O7" s="557">
        <f>'Non-Residential TSM UC'!O7*(Inputs!$C$21)</f>
        <v>609.82032510065369</v>
      </c>
      <c r="P7" s="557">
        <f>'Non-Residential TSM UC'!P7*(Inputs!$C$21)</f>
        <v>301.76349896014176</v>
      </c>
      <c r="Q7" s="45">
        <f>SUM(N7:P7)</f>
        <v>1328.4977418567851</v>
      </c>
      <c r="R7" s="141"/>
      <c r="S7" s="557">
        <f>'Non-Residential TSM UC'!S7*(Inputs!$C$21)</f>
        <v>3129.9273129422195</v>
      </c>
      <c r="T7" s="557">
        <f>'Non-Residential TSM UC'!T7*(Inputs!$C$21)</f>
        <v>865.67585029149416</v>
      </c>
      <c r="U7" s="45">
        <f>SUM(R7:T7)</f>
        <v>3995.6031632337135</v>
      </c>
      <c r="V7" s="141"/>
      <c r="W7" s="557">
        <f>'Non-Residential TSM UC'!W7*(Inputs!$C$21)</f>
        <v>58921.458906063985</v>
      </c>
      <c r="X7" s="557">
        <f>'Non-Residential TSM UC'!X7*(Inputs!$C$21)</f>
        <v>967.82163835260417</v>
      </c>
      <c r="Y7" s="45">
        <f>SUM(V7:X7)</f>
        <v>59889.280544416586</v>
      </c>
      <c r="AB7" s="35"/>
    </row>
    <row r="8" spans="1:28">
      <c r="A8" s="153" t="s">
        <v>6</v>
      </c>
      <c r="B8" s="565">
        <f>'Non-Residential TSM UC'!B8*(Inputs!$C$21)</f>
        <v>873.09145669660791</v>
      </c>
      <c r="C8" s="557">
        <f>'Non-Residential TSM UC'!C8*(Inputs!$C$21)</f>
        <v>112.16712195266035</v>
      </c>
      <c r="D8" s="557">
        <f>'Non-Residential TSM UC'!D8*(Inputs!$C$21)</f>
        <v>234.29973156037588</v>
      </c>
      <c r="E8" s="45">
        <f t="shared" ref="E8:E16" si="0">SUM(B8:D8)</f>
        <v>1219.5583102096441</v>
      </c>
      <c r="F8" s="565">
        <f>'Non-Residential TSM UC'!F8*(Inputs!$C$21)</f>
        <v>1008.4093280282156</v>
      </c>
      <c r="G8" s="557">
        <f>'Non-Residential TSM UC'!G8*(Inputs!$C$21)</f>
        <v>609.82032510065369</v>
      </c>
      <c r="H8" s="557">
        <f>'Non-Residential TSM UC'!H8*(Inputs!$C$21)</f>
        <v>301.76349896014176</v>
      </c>
      <c r="I8" s="45">
        <f t="shared" ref="I8:I17" si="1">SUM(F8:H8)</f>
        <v>1919.9931520890111</v>
      </c>
      <c r="J8" s="565">
        <f>'Non-Residential TSM UC'!J8*(Inputs!$C$21)</f>
        <v>1060.3067771120011</v>
      </c>
      <c r="K8" s="557">
        <f>'Non-Residential TSM UC'!K8*(Inputs!$C$21)</f>
        <v>609.82032510065369</v>
      </c>
      <c r="L8" s="557">
        <f>'Non-Residential TSM UC'!L8*(Inputs!$C$21)</f>
        <v>301.76349896014176</v>
      </c>
      <c r="M8" s="45">
        <f t="shared" ref="M8:M19" si="2">SUM(J8:L8)</f>
        <v>1971.8906011727966</v>
      </c>
      <c r="N8" s="565">
        <f>'Non-Residential TSM UC'!N8*(Inputs!$C$21)</f>
        <v>1250.7417533879686</v>
      </c>
      <c r="O8" s="557">
        <f>'Non-Residential TSM UC'!O8*(Inputs!$C$21)</f>
        <v>609.82032510065369</v>
      </c>
      <c r="P8" s="557">
        <f>'Non-Residential TSM UC'!P8*(Inputs!$C$21)</f>
        <v>301.76349896014176</v>
      </c>
      <c r="Q8" s="45">
        <f t="shared" ref="Q8:Q34" si="3">SUM(N8:P8)</f>
        <v>2162.3255774487643</v>
      </c>
      <c r="R8" s="141"/>
      <c r="S8" s="557">
        <f>'Non-Residential TSM UC'!S8*(Inputs!$C$21)</f>
        <v>3129.9273129422195</v>
      </c>
      <c r="T8" s="557">
        <f>'Non-Residential TSM UC'!T8*(Inputs!$C$21)</f>
        <v>865.67585029149416</v>
      </c>
      <c r="U8" s="45">
        <f t="shared" ref="U8:U19" si="4">SUM(R8:T8)</f>
        <v>3995.6031632337135</v>
      </c>
      <c r="V8" s="141"/>
      <c r="W8" s="557">
        <f>'Non-Residential TSM UC'!W8*(Inputs!$C$21)</f>
        <v>58921.458906063985</v>
      </c>
      <c r="X8" s="557">
        <f>'Non-Residential TSM UC'!X8*(Inputs!$C$21)</f>
        <v>967.82163835260417</v>
      </c>
      <c r="Y8" s="45">
        <f t="shared" ref="Y8:Y19" si="5">SUM(V8:X8)</f>
        <v>59889.280544416586</v>
      </c>
    </row>
    <row r="9" spans="1:28">
      <c r="A9" s="153" t="s">
        <v>7</v>
      </c>
      <c r="B9" s="565">
        <f>'Non-Residential TSM UC'!B9*(Inputs!$C$21)</f>
        <v>873.09145669660791</v>
      </c>
      <c r="C9" s="557">
        <f>'Non-Residential TSM UC'!C9*(Inputs!$C$21)</f>
        <v>158.10464377145311</v>
      </c>
      <c r="D9" s="557">
        <f>'Non-Residential TSM UC'!D9*(Inputs!$C$21)</f>
        <v>234.29973156037588</v>
      </c>
      <c r="E9" s="45">
        <f t="shared" si="0"/>
        <v>1265.495832028437</v>
      </c>
      <c r="F9" s="565">
        <f>'Non-Residential TSM UC'!F9*(Inputs!$C$21)</f>
        <v>2016.8186560564311</v>
      </c>
      <c r="G9" s="557">
        <f>'Non-Residential TSM UC'!G9*(Inputs!$C$21)</f>
        <v>718.29191911453245</v>
      </c>
      <c r="H9" s="557">
        <f>'Non-Residential TSM UC'!H9*(Inputs!$C$21)</f>
        <v>301.76349896014176</v>
      </c>
      <c r="I9" s="45">
        <f t="shared" si="1"/>
        <v>3036.8740741311058</v>
      </c>
      <c r="J9" s="565">
        <f>'Non-Residential TSM UC'!J9*(Inputs!$C$21)</f>
        <v>2120.6135542240022</v>
      </c>
      <c r="K9" s="557">
        <f>'Non-Residential TSM UC'!K9*(Inputs!$C$21)</f>
        <v>718.29191911453245</v>
      </c>
      <c r="L9" s="557">
        <f>'Non-Residential TSM UC'!L9*(Inputs!$C$21)</f>
        <v>301.76349896014176</v>
      </c>
      <c r="M9" s="45">
        <f t="shared" si="2"/>
        <v>3140.6689722986766</v>
      </c>
      <c r="N9" s="565">
        <f>'Non-Residential TSM UC'!N9*(Inputs!$C$21)</f>
        <v>2501.4835067759373</v>
      </c>
      <c r="O9" s="557">
        <f>'Non-Residential TSM UC'!O9*(Inputs!$C$21)</f>
        <v>718.29191911453245</v>
      </c>
      <c r="P9" s="557">
        <f>'Non-Residential TSM UC'!P9*(Inputs!$C$21)</f>
        <v>301.76349896014176</v>
      </c>
      <c r="Q9" s="45">
        <f t="shared" si="3"/>
        <v>3521.5389248506117</v>
      </c>
      <c r="R9" s="141"/>
      <c r="S9" s="557">
        <f>'Non-Residential TSM UC'!S9*(Inputs!$C$21)</f>
        <v>3129.9273129422195</v>
      </c>
      <c r="T9" s="557">
        <f>'Non-Residential TSM UC'!T9*(Inputs!$C$21)</f>
        <v>865.67585029149416</v>
      </c>
      <c r="U9" s="45">
        <f t="shared" si="4"/>
        <v>3995.6031632337135</v>
      </c>
      <c r="V9" s="141"/>
      <c r="W9" s="557">
        <f>'Non-Residential TSM UC'!W9*(Inputs!$C$21)</f>
        <v>58921.458906063985</v>
      </c>
      <c r="X9" s="557">
        <f>'Non-Residential TSM UC'!X9*(Inputs!$C$21)</f>
        <v>967.82163835260417</v>
      </c>
      <c r="Y9" s="45">
        <f t="shared" si="5"/>
        <v>59889.280544416586</v>
      </c>
    </row>
    <row r="10" spans="1:28">
      <c r="A10" s="153" t="s">
        <v>124</v>
      </c>
      <c r="B10" s="565">
        <f>'Non-Residential TSM UC'!B10*(Inputs!$C$21)</f>
        <v>2182.7286417415198</v>
      </c>
      <c r="C10" s="557">
        <f>'Non-Residential TSM UC'!C10*(Inputs!$C$21)</f>
        <v>172.82934577832256</v>
      </c>
      <c r="D10" s="557">
        <f>'Non-Residential TSM UC'!D10*(Inputs!$C$21)</f>
        <v>234.29973156037588</v>
      </c>
      <c r="E10" s="45">
        <f t="shared" si="0"/>
        <v>2589.857719080218</v>
      </c>
      <c r="F10" s="565">
        <f>'Non-Residential TSM UC'!F10*(Inputs!$C$21)</f>
        <v>4705.9101974650057</v>
      </c>
      <c r="G10" s="557">
        <f>'Non-Residential TSM UC'!G10*(Inputs!$C$21)</f>
        <v>718.29191911453245</v>
      </c>
      <c r="H10" s="557">
        <f>'Non-Residential TSM UC'!H10*(Inputs!$C$21)</f>
        <v>301.76349896014176</v>
      </c>
      <c r="I10" s="45">
        <f t="shared" si="1"/>
        <v>5725.9656155396797</v>
      </c>
      <c r="J10" s="565">
        <f>'Non-Residential TSM UC'!J10*(Inputs!$C$21)</f>
        <v>4948.0982931893386</v>
      </c>
      <c r="K10" s="557">
        <f>'Non-Residential TSM UC'!K10*(Inputs!$C$21)</f>
        <v>718.29191911453245</v>
      </c>
      <c r="L10" s="557">
        <f>'Non-Residential TSM UC'!L10*(Inputs!$C$21)</f>
        <v>301.76349896014176</v>
      </c>
      <c r="M10" s="45">
        <f t="shared" si="2"/>
        <v>5968.1537112640135</v>
      </c>
      <c r="N10" s="565">
        <f>'Non-Residential TSM UC'!N10*(Inputs!$C$21)</f>
        <v>5836.7948491438538</v>
      </c>
      <c r="O10" s="557">
        <f>'Non-Residential TSM UC'!O10*(Inputs!$C$21)</f>
        <v>718.29191911453245</v>
      </c>
      <c r="P10" s="557">
        <f>'Non-Residential TSM UC'!P10*(Inputs!$C$21)</f>
        <v>301.76349896014176</v>
      </c>
      <c r="Q10" s="45">
        <f t="shared" si="3"/>
        <v>6856.8502672185286</v>
      </c>
      <c r="R10" s="141"/>
      <c r="S10" s="557">
        <f>'Non-Residential TSM UC'!S10*(Inputs!$C$21)</f>
        <v>3129.9273129422195</v>
      </c>
      <c r="T10" s="557">
        <f>'Non-Residential TSM UC'!T10*(Inputs!$C$21)</f>
        <v>865.67585029149416</v>
      </c>
      <c r="U10" s="45">
        <f t="shared" si="4"/>
        <v>3995.6031632337135</v>
      </c>
      <c r="V10" s="141"/>
      <c r="W10" s="557">
        <f>'Non-Residential TSM UC'!W10*(Inputs!$C$21)</f>
        <v>58921.458906063985</v>
      </c>
      <c r="X10" s="557">
        <f>'Non-Residential TSM UC'!X10*(Inputs!$C$21)</f>
        <v>967.82163835260417</v>
      </c>
      <c r="Y10" s="45">
        <f t="shared" si="5"/>
        <v>59889.280544416586</v>
      </c>
    </row>
    <row r="11" spans="1:28">
      <c r="A11" s="153" t="s">
        <v>116</v>
      </c>
      <c r="B11" s="565">
        <f>'Non-Residential TSM UC'!B11*(Inputs!$C$21)</f>
        <v>2182.7286417415198</v>
      </c>
      <c r="C11" s="557">
        <f>'Non-Residential TSM UC'!C11*(Inputs!$C$21)</f>
        <v>172.82934577832256</v>
      </c>
      <c r="D11" s="557">
        <f>'Non-Residential TSM UC'!D11*(Inputs!$C$21)</f>
        <v>234.29973156037588</v>
      </c>
      <c r="E11" s="45">
        <f t="shared" si="0"/>
        <v>2589.857719080218</v>
      </c>
      <c r="F11" s="565">
        <f>'Non-Residential TSM UC'!F11*(Inputs!$C$21)</f>
        <v>4705.9101974650057</v>
      </c>
      <c r="G11" s="557">
        <f>'Non-Residential TSM UC'!G11*(Inputs!$C$21)</f>
        <v>718.29191911453245</v>
      </c>
      <c r="H11" s="557">
        <f>'Non-Residential TSM UC'!H11*(Inputs!$C$21)</f>
        <v>301.76349896014176</v>
      </c>
      <c r="I11" s="45">
        <f t="shared" si="1"/>
        <v>5725.9656155396797</v>
      </c>
      <c r="J11" s="565">
        <f>'Non-Residential TSM UC'!J11*(Inputs!$C$21)</f>
        <v>4948.0982931893386</v>
      </c>
      <c r="K11" s="557">
        <f>'Non-Residential TSM UC'!K11*(Inputs!$C$21)</f>
        <v>718.29191911453245</v>
      </c>
      <c r="L11" s="557">
        <f>'Non-Residential TSM UC'!L11*(Inputs!$C$21)</f>
        <v>301.76349896014176</v>
      </c>
      <c r="M11" s="45">
        <f t="shared" si="2"/>
        <v>5968.1537112640135</v>
      </c>
      <c r="N11" s="565">
        <f>'Non-Residential TSM UC'!N11*(Inputs!$C$21)</f>
        <v>5836.7948491438538</v>
      </c>
      <c r="O11" s="557">
        <f>'Non-Residential TSM UC'!O11*(Inputs!$C$21)</f>
        <v>718.29191911453245</v>
      </c>
      <c r="P11" s="557">
        <f>'Non-Residential TSM UC'!P11*(Inputs!$C$21)</f>
        <v>301.76349896014176</v>
      </c>
      <c r="Q11" s="45">
        <f t="shared" si="3"/>
        <v>6856.8502672185286</v>
      </c>
      <c r="R11" s="141"/>
      <c r="S11" s="557">
        <f>'Non-Residential TSM UC'!S11*(Inputs!$C$21)</f>
        <v>3129.9273129422195</v>
      </c>
      <c r="T11" s="557">
        <f>'Non-Residential TSM UC'!T11*(Inputs!$C$21)</f>
        <v>865.67585029149416</v>
      </c>
      <c r="U11" s="45">
        <f t="shared" si="4"/>
        <v>3995.6031632337135</v>
      </c>
      <c r="V11" s="141"/>
      <c r="W11" s="557">
        <f>'Non-Residential TSM UC'!W11*(Inputs!$C$21)</f>
        <v>58921.458906063985</v>
      </c>
      <c r="X11" s="557">
        <f>'Non-Residential TSM UC'!X11*(Inputs!$C$21)</f>
        <v>967.82163835260417</v>
      </c>
      <c r="Y11" s="45">
        <f t="shared" si="5"/>
        <v>59889.280544416586</v>
      </c>
    </row>
    <row r="12" spans="1:28">
      <c r="A12" s="153" t="s">
        <v>8</v>
      </c>
      <c r="B12" s="565">
        <f>'Non-Residential TSM UC'!B12*(Inputs!$C$21)</f>
        <v>4690.093592721636</v>
      </c>
      <c r="C12" s="557">
        <f>'Non-Residential TSM UC'!C12*(Inputs!$C$21)</f>
        <v>416.66793089405189</v>
      </c>
      <c r="D12" s="557">
        <f>'Non-Residential TSM UC'!D12*(Inputs!$C$21)</f>
        <v>234.29973156037588</v>
      </c>
      <c r="E12" s="45">
        <f t="shared" si="0"/>
        <v>5341.0612551760642</v>
      </c>
      <c r="F12" s="565">
        <f>'Non-Residential TSM UC'!F12*(Inputs!$C$21)</f>
        <v>14117.730592395017</v>
      </c>
      <c r="G12" s="557">
        <f>'Non-Residential TSM UC'!G12*(Inputs!$C$21)</f>
        <v>935.23510714228996</v>
      </c>
      <c r="H12" s="557">
        <f>'Non-Residential TSM UC'!H12*(Inputs!$C$21)</f>
        <v>301.76349896014176</v>
      </c>
      <c r="I12" s="45">
        <f t="shared" si="1"/>
        <v>15354.729198497449</v>
      </c>
      <c r="J12" s="565">
        <f>'Non-Residential TSM UC'!J12*(Inputs!$C$21)</f>
        <v>14844.294879568015</v>
      </c>
      <c r="K12" s="557">
        <f>'Non-Residential TSM UC'!K12*(Inputs!$C$21)</f>
        <v>935.23510714228996</v>
      </c>
      <c r="L12" s="557">
        <f>'Non-Residential TSM UC'!L12*(Inputs!$C$21)</f>
        <v>301.76349896014176</v>
      </c>
      <c r="M12" s="45">
        <f t="shared" si="2"/>
        <v>16081.293485670447</v>
      </c>
      <c r="N12" s="565">
        <f>'Non-Residential TSM UC'!N12*(Inputs!$C$21)</f>
        <v>5836.7948491438538</v>
      </c>
      <c r="O12" s="557">
        <f>'Non-Residential TSM UC'!O12*(Inputs!$C$21)</f>
        <v>935.23510714228996</v>
      </c>
      <c r="P12" s="557">
        <f>'Non-Residential TSM UC'!P12*(Inputs!$C$21)</f>
        <v>301.76349896014176</v>
      </c>
      <c r="Q12" s="45">
        <f t="shared" si="3"/>
        <v>7073.7934552462857</v>
      </c>
      <c r="R12" s="141"/>
      <c r="S12" s="557">
        <f>'Non-Residential TSM UC'!S12*(Inputs!$C$21)</f>
        <v>3129.9273129422195</v>
      </c>
      <c r="T12" s="557">
        <f>'Non-Residential TSM UC'!T12*(Inputs!$C$21)</f>
        <v>865.67585029149416</v>
      </c>
      <c r="U12" s="45">
        <f t="shared" si="4"/>
        <v>3995.6031632337135</v>
      </c>
      <c r="V12" s="141"/>
      <c r="W12" s="557">
        <f>'Non-Residential TSM UC'!W12*(Inputs!$C$21)</f>
        <v>58921.458906063985</v>
      </c>
      <c r="X12" s="557">
        <f>'Non-Residential TSM UC'!X12*(Inputs!$C$21)</f>
        <v>967.82163835260417</v>
      </c>
      <c r="Y12" s="45">
        <f t="shared" si="5"/>
        <v>59889.280544416586</v>
      </c>
    </row>
    <row r="13" spans="1:28">
      <c r="A13" s="153" t="s">
        <v>9</v>
      </c>
      <c r="B13" s="565">
        <f>'Non-Residential TSM UC'!B13*(Inputs!$C$21)</f>
        <v>5150.0808789771727</v>
      </c>
      <c r="C13" s="557">
        <f>'Non-Residential TSM UC'!C13*(Inputs!$C$21)</f>
        <v>671.30102360008686</v>
      </c>
      <c r="D13" s="557">
        <f>'Non-Residential TSM UC'!D13*(Inputs!$C$21)</f>
        <v>234.29973156037588</v>
      </c>
      <c r="E13" s="45">
        <f t="shared" si="0"/>
        <v>6055.6816341376352</v>
      </c>
      <c r="F13" s="565">
        <f>'Non-Residential TSM UC'!F13*(Inputs!$C$21)</f>
        <v>14117.730592395017</v>
      </c>
      <c r="G13" s="557">
        <f>'Non-Residential TSM UC'!G13*(Inputs!$C$21)</f>
        <v>1440.5499348403266</v>
      </c>
      <c r="H13" s="557">
        <f>'Non-Residential TSM UC'!H13*(Inputs!$C$21)</f>
        <v>301.76349896014176</v>
      </c>
      <c r="I13" s="45">
        <f t="shared" si="1"/>
        <v>15860.044026195485</v>
      </c>
      <c r="J13" s="565">
        <f>'Non-Residential TSM UC'!J13*(Inputs!$C$21)</f>
        <v>14844.294879568015</v>
      </c>
      <c r="K13" s="557">
        <f>'Non-Residential TSM UC'!K13*(Inputs!$C$21)</f>
        <v>1440.5499348403266</v>
      </c>
      <c r="L13" s="557">
        <f>'Non-Residential TSM UC'!L13*(Inputs!$C$21)</f>
        <v>301.76349896014176</v>
      </c>
      <c r="M13" s="45">
        <f t="shared" si="2"/>
        <v>16586.608313368484</v>
      </c>
      <c r="N13" s="565">
        <f>'Non-Residential TSM UC'!N13*(Inputs!$C$21)</f>
        <v>8755.1922737157802</v>
      </c>
      <c r="O13" s="557">
        <f>'Non-Residential TSM UC'!O13*(Inputs!$C$21)</f>
        <v>935.23510714228996</v>
      </c>
      <c r="P13" s="557">
        <f>'Non-Residential TSM UC'!P13*(Inputs!$C$21)</f>
        <v>301.76349896014176</v>
      </c>
      <c r="Q13" s="45">
        <f t="shared" si="3"/>
        <v>9992.1908798182103</v>
      </c>
      <c r="R13" s="141"/>
      <c r="S13" s="557">
        <f>'Non-Residential TSM UC'!S13*(Inputs!$C$21)</f>
        <v>3129.9273129422195</v>
      </c>
      <c r="T13" s="557">
        <f>'Non-Residential TSM UC'!T13*(Inputs!$C$21)</f>
        <v>865.67585029149416</v>
      </c>
      <c r="U13" s="45">
        <f t="shared" si="4"/>
        <v>3995.6031632337135</v>
      </c>
      <c r="V13" s="141"/>
      <c r="W13" s="557">
        <f>'Non-Residential TSM UC'!W13*(Inputs!$C$21)</f>
        <v>58921.458906063985</v>
      </c>
      <c r="X13" s="557">
        <f>'Non-Residential TSM UC'!X13*(Inputs!$C$21)</f>
        <v>967.82163835260417</v>
      </c>
      <c r="Y13" s="45">
        <f t="shared" si="5"/>
        <v>59889.280544416586</v>
      </c>
    </row>
    <row r="14" spans="1:28">
      <c r="A14" s="153" t="s">
        <v>10</v>
      </c>
      <c r="B14" s="565">
        <f>'Non-Residential TSM UC'!B14*(Inputs!$C$21)</f>
        <v>4936.206559466149</v>
      </c>
      <c r="C14" s="557">
        <f>'Non-Residential TSM UC'!C14*(Inputs!$C$21)</f>
        <v>1276.372447066306</v>
      </c>
      <c r="D14" s="557">
        <f>'Non-Residential TSM UC'!D14*(Inputs!$C$21)</f>
        <v>234.29973156037588</v>
      </c>
      <c r="E14" s="45">
        <f t="shared" si="0"/>
        <v>6446.8787380928306</v>
      </c>
      <c r="F14" s="565">
        <f>'Non-Residential TSM UC'!F14*(Inputs!$C$21)</f>
        <v>8339.1934513193628</v>
      </c>
      <c r="G14" s="557">
        <f>'Non-Residential TSM UC'!G14*(Inputs!$C$21)</f>
        <v>1440.5499348403266</v>
      </c>
      <c r="H14" s="557">
        <f>'Non-Residential TSM UC'!H14*(Inputs!$C$21)</f>
        <v>301.76349896014176</v>
      </c>
      <c r="I14" s="45">
        <f t="shared" si="1"/>
        <v>10081.50688511983</v>
      </c>
      <c r="J14" s="565">
        <f>'Non-Residential TSM UC'!J14*(Inputs!$C$21)</f>
        <v>8597.5391843563593</v>
      </c>
      <c r="K14" s="557">
        <f>'Non-Residential TSM UC'!K14*(Inputs!$C$21)</f>
        <v>1440.5499348403266</v>
      </c>
      <c r="L14" s="557">
        <f>'Non-Residential TSM UC'!L14*(Inputs!$C$21)</f>
        <v>301.76349896014176</v>
      </c>
      <c r="M14" s="45">
        <f t="shared" si="2"/>
        <v>10339.852618156827</v>
      </c>
      <c r="N14" s="565">
        <f>'Non-Residential TSM UC'!N14*(Inputs!$C$21)</f>
        <v>8755.1922737157802</v>
      </c>
      <c r="O14" s="557">
        <f>'Non-Residential TSM UC'!O14*(Inputs!$C$21)</f>
        <v>1440.5499348403266</v>
      </c>
      <c r="P14" s="557">
        <f>'Non-Residential TSM UC'!P14*(Inputs!$C$21)</f>
        <v>301.76349896014176</v>
      </c>
      <c r="Q14" s="45">
        <f t="shared" si="3"/>
        <v>10497.505707516248</v>
      </c>
      <c r="R14" s="141"/>
      <c r="S14" s="557">
        <f>'Non-Residential TSM UC'!S14*(Inputs!$C$21)</f>
        <v>3129.9273129422195</v>
      </c>
      <c r="T14" s="557">
        <f>'Non-Residential TSM UC'!T14*(Inputs!$C$21)</f>
        <v>865.67585029149416</v>
      </c>
      <c r="U14" s="45">
        <f t="shared" si="4"/>
        <v>3995.6031632337135</v>
      </c>
      <c r="V14" s="141"/>
      <c r="W14" s="557">
        <f>'Non-Residential TSM UC'!W14*(Inputs!$C$21)</f>
        <v>58921.458906063985</v>
      </c>
      <c r="X14" s="557">
        <f>'Non-Residential TSM UC'!X14*(Inputs!$C$21)</f>
        <v>967.82163835260417</v>
      </c>
      <c r="Y14" s="45">
        <f t="shared" si="5"/>
        <v>59889.280544416586</v>
      </c>
    </row>
    <row r="15" spans="1:28">
      <c r="A15" s="153" t="s">
        <v>11</v>
      </c>
      <c r="B15" s="565">
        <f>'Non-Residential TSM UC'!B15*(Inputs!$C$21)</f>
        <v>4936.206559466149</v>
      </c>
      <c r="C15" s="557">
        <f>'Non-Residential TSM UC'!C15*(Inputs!$C$21)</f>
        <v>1881.4438705325249</v>
      </c>
      <c r="D15" s="557">
        <f>'Non-Residential TSM UC'!D15*(Inputs!$C$21)</f>
        <v>234.29973156037588</v>
      </c>
      <c r="E15" s="45">
        <f t="shared" si="0"/>
        <v>7051.9501615590498</v>
      </c>
      <c r="F15" s="565">
        <f>'Non-Residential TSM UC'!F15*(Inputs!$C$21)</f>
        <v>8339.1934513193628</v>
      </c>
      <c r="G15" s="557">
        <f>'Non-Residential TSM UC'!G15*(Inputs!$C$21)</f>
        <v>2881.0998696806532</v>
      </c>
      <c r="H15" s="557">
        <f>'Non-Residential TSM UC'!H15*(Inputs!$C$21)</f>
        <v>865.67585029149416</v>
      </c>
      <c r="I15" s="45">
        <f t="shared" si="1"/>
        <v>12085.96917129151</v>
      </c>
      <c r="J15" s="565">
        <f>'Non-Residential TSM UC'!J15*(Inputs!$C$21)</f>
        <v>17195.078368712719</v>
      </c>
      <c r="K15" s="557">
        <f>'Non-Residential TSM UC'!K15*(Inputs!$C$21)</f>
        <v>2881.0998696806532</v>
      </c>
      <c r="L15" s="557">
        <f>'Non-Residential TSM UC'!L15*(Inputs!$C$21)</f>
        <v>865.67585029149416</v>
      </c>
      <c r="M15" s="45">
        <f t="shared" si="2"/>
        <v>20941.854088684864</v>
      </c>
      <c r="N15" s="565">
        <f>'Non-Residential TSM UC'!N15*(Inputs!$C$21)</f>
        <v>17510.38454743156</v>
      </c>
      <c r="O15" s="557">
        <f>'Non-Residential TSM UC'!O15*(Inputs!$C$21)</f>
        <v>1440.5499348403266</v>
      </c>
      <c r="P15" s="557">
        <f>'Non-Residential TSM UC'!P15*(Inputs!$C$21)</f>
        <v>865.67585029149416</v>
      </c>
      <c r="Q15" s="45">
        <f t="shared" si="3"/>
        <v>19816.610332563381</v>
      </c>
      <c r="R15" s="141"/>
      <c r="S15" s="557">
        <f>'Non-Residential TSM UC'!S15*(Inputs!$C$21)</f>
        <v>3129.9273129422195</v>
      </c>
      <c r="T15" s="557">
        <f>'Non-Residential TSM UC'!T15*(Inputs!$C$21)</f>
        <v>967.82163835260417</v>
      </c>
      <c r="U15" s="45">
        <f t="shared" si="4"/>
        <v>4097.7489512948232</v>
      </c>
      <c r="V15" s="141"/>
      <c r="W15" s="557">
        <f>'Non-Residential TSM UC'!W15*(Inputs!$C$21)</f>
        <v>58921.458906063985</v>
      </c>
      <c r="X15" s="557">
        <f>'Non-Residential TSM UC'!X15*(Inputs!$C$21)</f>
        <v>967.82163835260417</v>
      </c>
      <c r="Y15" s="45">
        <f t="shared" si="5"/>
        <v>59889.280544416586</v>
      </c>
    </row>
    <row r="16" spans="1:28">
      <c r="A16" s="153" t="s">
        <v>120</v>
      </c>
      <c r="B16" s="565">
        <f>'Non-Residential TSM UC'!B16*(Inputs!$C$21)</f>
        <v>6972.3309833234607</v>
      </c>
      <c r="C16" s="557">
        <f>'Non-Residential TSM UC'!C16*(Inputs!$C$21)</f>
        <v>1881.4438705325249</v>
      </c>
      <c r="D16" s="557">
        <f>'Non-Residential TSM UC'!D16*(Inputs!$C$21)</f>
        <v>234.29973156037588</v>
      </c>
      <c r="E16" s="45">
        <f t="shared" si="0"/>
        <v>9088.0745854163615</v>
      </c>
      <c r="F16" s="565">
        <f>'Non-Residential TSM UC'!F16*(Inputs!$C$21)</f>
        <v>16678.386902638726</v>
      </c>
      <c r="G16" s="557">
        <f>'Non-Residential TSM UC'!G16*(Inputs!$C$21)</f>
        <v>3881.3806159244828</v>
      </c>
      <c r="H16" s="557">
        <f>'Non-Residential TSM UC'!H16*(Inputs!$C$21)</f>
        <v>865.67585029149416</v>
      </c>
      <c r="I16" s="45">
        <f t="shared" si="1"/>
        <v>21425.4433688547</v>
      </c>
      <c r="J16" s="565">
        <f>'Non-Residential TSM UC'!J16*(Inputs!$C$21)</f>
        <v>9687.5686087994509</v>
      </c>
      <c r="K16" s="557">
        <f>'Non-Residential TSM UC'!K16*(Inputs!$C$21)</f>
        <v>3881.3806159244828</v>
      </c>
      <c r="L16" s="557">
        <f>'Non-Residential TSM UC'!L16*(Inputs!$C$21)</f>
        <v>865.67585029149416</v>
      </c>
      <c r="M16" s="45">
        <f t="shared" si="2"/>
        <v>14434.625075015429</v>
      </c>
      <c r="N16" s="565">
        <f>'Non-Residential TSM UC'!N16*(Inputs!$C$21)</f>
        <v>9171.5053855295391</v>
      </c>
      <c r="O16" s="557">
        <f>'Non-Residential TSM UC'!O16*(Inputs!$C$21)</f>
        <v>1940.6903079622414</v>
      </c>
      <c r="P16" s="557">
        <f>'Non-Residential TSM UC'!P16*(Inputs!$C$21)</f>
        <v>865.67585029149416</v>
      </c>
      <c r="Q16" s="45">
        <f t="shared" si="3"/>
        <v>11977.871543783274</v>
      </c>
      <c r="R16" s="141"/>
      <c r="S16" s="557">
        <f>'Non-Residential TSM UC'!S16*(Inputs!$C$21)</f>
        <v>3129.9273129422195</v>
      </c>
      <c r="T16" s="557">
        <f>'Non-Residential TSM UC'!T16*(Inputs!$C$21)</f>
        <v>967.82163835260417</v>
      </c>
      <c r="U16" s="45">
        <f t="shared" si="4"/>
        <v>4097.7489512948232</v>
      </c>
      <c r="V16" s="141"/>
      <c r="W16" s="557">
        <f>'Non-Residential TSM UC'!W16*(Inputs!$C$21)</f>
        <v>58921.458906063985</v>
      </c>
      <c r="X16" s="557">
        <f>'Non-Residential TSM UC'!X16*(Inputs!$C$21)</f>
        <v>967.82163835260417</v>
      </c>
      <c r="Y16" s="45">
        <f t="shared" si="5"/>
        <v>59889.280544416586</v>
      </c>
    </row>
    <row r="17" spans="1:28">
      <c r="A17" s="153" t="s">
        <v>121</v>
      </c>
      <c r="B17" s="141"/>
      <c r="C17" s="126"/>
      <c r="D17" s="126"/>
      <c r="E17" s="45"/>
      <c r="F17" s="565">
        <f>'Non-Residential TSM UC'!F17*(Inputs!$C$21)</f>
        <v>16678.386902638726</v>
      </c>
      <c r="G17" s="557">
        <f>'Non-Residential TSM UC'!G17*(Inputs!$C$21)</f>
        <v>3881.3806159244828</v>
      </c>
      <c r="H17" s="557">
        <f>'Non-Residential TSM UC'!H17*(Inputs!$C$21)</f>
        <v>865.67585029149416</v>
      </c>
      <c r="I17" s="45">
        <f t="shared" si="1"/>
        <v>21425.4433688547</v>
      </c>
      <c r="J17" s="565">
        <f>'Non-Residential TSM UC'!J17*(Inputs!$C$21)</f>
        <v>9687.5686087994509</v>
      </c>
      <c r="K17" s="557">
        <f>'Non-Residential TSM UC'!K17*(Inputs!$C$21)</f>
        <v>3881.3806159244828</v>
      </c>
      <c r="L17" s="557">
        <f>'Non-Residential TSM UC'!L17*(Inputs!$C$21)</f>
        <v>865.67585029149416</v>
      </c>
      <c r="M17" s="45">
        <f t="shared" si="2"/>
        <v>14434.625075015429</v>
      </c>
      <c r="N17" s="565">
        <f>'Non-Residential TSM UC'!N17*(Inputs!$C$21)</f>
        <v>9171.5053855295391</v>
      </c>
      <c r="O17" s="557">
        <f>'Non-Residential TSM UC'!O17*(Inputs!$C$21)</f>
        <v>1940.6903079622414</v>
      </c>
      <c r="P17" s="557">
        <f>'Non-Residential TSM UC'!P17*(Inputs!$C$21)</f>
        <v>865.67585029149416</v>
      </c>
      <c r="Q17" s="45">
        <f t="shared" si="3"/>
        <v>11977.871543783274</v>
      </c>
      <c r="R17" s="141"/>
      <c r="S17" s="557">
        <f>'Non-Residential TSM UC'!S17*(Inputs!$C$21)</f>
        <v>3129.9273129422195</v>
      </c>
      <c r="T17" s="557">
        <f>'Non-Residential TSM UC'!T17*(Inputs!$C$21)</f>
        <v>967.82163835260417</v>
      </c>
      <c r="U17" s="45">
        <f t="shared" si="4"/>
        <v>4097.7489512948232</v>
      </c>
      <c r="V17" s="141"/>
      <c r="W17" s="557">
        <f>'Non-Residential TSM UC'!W17*(Inputs!$C$21)</f>
        <v>58921.458906063985</v>
      </c>
      <c r="X17" s="557">
        <f>'Non-Residential TSM UC'!X17*(Inputs!$C$21)</f>
        <v>967.82163835260417</v>
      </c>
      <c r="Y17" s="45">
        <f t="shared" si="5"/>
        <v>59889.280544416586</v>
      </c>
      <c r="AB17" s="35"/>
    </row>
    <row r="18" spans="1:28">
      <c r="A18" s="153" t="s">
        <v>12</v>
      </c>
      <c r="B18" s="141"/>
      <c r="C18" s="126"/>
      <c r="D18" s="126"/>
      <c r="E18" s="45"/>
      <c r="F18" s="141"/>
      <c r="G18" s="557"/>
      <c r="H18" s="126"/>
      <c r="I18" s="45"/>
      <c r="J18" s="565">
        <f>'Non-Residential TSM UC'!J18*(Inputs!$C$21)</f>
        <v>19375.137217598902</v>
      </c>
      <c r="K18" s="557">
        <f>'Non-Residential TSM UC'!K18*(Inputs!$C$21)</f>
        <v>6332.3820101775018</v>
      </c>
      <c r="L18" s="557">
        <f>'Non-Residential TSM UC'!L18*(Inputs!$C$21)</f>
        <v>865.67585029149416</v>
      </c>
      <c r="M18" s="45">
        <f t="shared" si="2"/>
        <v>26573.195078067896</v>
      </c>
      <c r="N18" s="565">
        <f>'Non-Residential TSM UC'!N18*(Inputs!$C$21)</f>
        <v>18343.010771059078</v>
      </c>
      <c r="O18" s="557">
        <f>'Non-Residential TSM UC'!O18*(Inputs!$C$21)</f>
        <v>3166.1910050887509</v>
      </c>
      <c r="P18" s="557">
        <f>'Non-Residential TSM UC'!P18*(Inputs!$C$21)</f>
        <v>865.67585029149416</v>
      </c>
      <c r="Q18" s="45">
        <f t="shared" si="3"/>
        <v>22374.87762643932</v>
      </c>
      <c r="R18" s="141"/>
      <c r="S18" s="557">
        <f>'Non-Residential TSM UC'!S18*(Inputs!$C$21)</f>
        <v>3129.9273129422195</v>
      </c>
      <c r="T18" s="557">
        <f>'Non-Residential TSM UC'!T18*(Inputs!$C$21)</f>
        <v>967.82163835260417</v>
      </c>
      <c r="U18" s="45">
        <f t="shared" si="4"/>
        <v>4097.7489512948232</v>
      </c>
      <c r="V18" s="141"/>
      <c r="W18" s="557">
        <f>'Non-Residential TSM UC'!W18*(Inputs!$C$21)</f>
        <v>58921.458906063985</v>
      </c>
      <c r="X18" s="557">
        <f>'Non-Residential TSM UC'!X18*(Inputs!$C$21)</f>
        <v>967.82163835260417</v>
      </c>
      <c r="Y18" s="45">
        <f t="shared" si="5"/>
        <v>59889.280544416586</v>
      </c>
      <c r="AB18" s="35"/>
    </row>
    <row r="19" spans="1:28">
      <c r="A19" s="153" t="s">
        <v>13</v>
      </c>
      <c r="B19" s="141"/>
      <c r="C19" s="126"/>
      <c r="D19" s="126"/>
      <c r="E19" s="45"/>
      <c r="F19" s="141"/>
      <c r="G19" s="126"/>
      <c r="H19" s="126"/>
      <c r="I19" s="45"/>
      <c r="J19" s="565">
        <f>'Non-Residential TSM UC'!J19*(Inputs!$C$21)</f>
        <v>12406.351038992085</v>
      </c>
      <c r="K19" s="557">
        <f>'Non-Residential TSM UC'!K19*(Inputs!$C$21)</f>
        <v>9498.5730152662527</v>
      </c>
      <c r="L19" s="557">
        <f>'Non-Residential TSM UC'!L19*(Inputs!$C$21)</f>
        <v>865.67585029149416</v>
      </c>
      <c r="M19" s="45">
        <f t="shared" si="2"/>
        <v>22770.599904549828</v>
      </c>
      <c r="N19" s="565">
        <f>'Non-Residential TSM UC'!N19*(Inputs!$C$21)</f>
        <v>12406.351038992085</v>
      </c>
      <c r="O19" s="557">
        <f>'Non-Residential TSM UC'!O19*(Inputs!$C$21)</f>
        <v>3881.3806159244828</v>
      </c>
      <c r="P19" s="557">
        <f>'Non-Residential TSM UC'!P19*(Inputs!$C$21)</f>
        <v>865.67585029149416</v>
      </c>
      <c r="Q19" s="45">
        <f t="shared" si="3"/>
        <v>17153.407505208063</v>
      </c>
      <c r="R19" s="141"/>
      <c r="S19" s="557">
        <f>'Non-Residential TSM UC'!S19*(Inputs!$C$21)</f>
        <v>3129.9273129422195</v>
      </c>
      <c r="T19" s="557">
        <f>'Non-Residential TSM UC'!T19*(Inputs!$C$21)</f>
        <v>967.82163835260417</v>
      </c>
      <c r="U19" s="45">
        <f t="shared" si="4"/>
        <v>4097.7489512948232</v>
      </c>
      <c r="V19" s="141"/>
      <c r="W19" s="557">
        <f>'Non-Residential TSM UC'!W19*(Inputs!$C$21)</f>
        <v>58921.458906063985</v>
      </c>
      <c r="X19" s="557">
        <f>'Non-Residential TSM UC'!X19*(Inputs!$C$21)</f>
        <v>967.82163835260417</v>
      </c>
      <c r="Y19" s="45">
        <f t="shared" si="5"/>
        <v>59889.280544416586</v>
      </c>
      <c r="AB19" s="35"/>
    </row>
    <row r="20" spans="1:28">
      <c r="A20" s="153" t="s">
        <v>122</v>
      </c>
      <c r="B20" s="141"/>
      <c r="C20" s="126"/>
      <c r="D20" s="126"/>
      <c r="E20" s="45"/>
      <c r="F20" s="141"/>
      <c r="G20" s="126"/>
      <c r="H20" s="126"/>
      <c r="I20" s="45"/>
      <c r="J20" s="565">
        <f>'Non-Residential TSM UC'!J20*(Inputs!$C$21)</f>
        <v>16768.219224341061</v>
      </c>
      <c r="K20" s="557">
        <f>'Non-Residential TSM UC'!K20*(Inputs!$C$21)</f>
        <v>9498.5730152662527</v>
      </c>
      <c r="L20" s="557">
        <f>'Non-Residential TSM UC'!L20*(Inputs!$C$21)</f>
        <v>865.67585029149416</v>
      </c>
      <c r="M20" s="45">
        <f t="shared" ref="M20:M28" si="6">SUM(J20:L20)</f>
        <v>27132.468089898804</v>
      </c>
      <c r="N20" s="565">
        <f>'Non-Residential TSM UC'!N20*(Inputs!$C$21)</f>
        <v>14168.457286169785</v>
      </c>
      <c r="O20" s="557">
        <f>'Non-Residential TSM UC'!O20*(Inputs!$C$21)</f>
        <v>3881.3806159244828</v>
      </c>
      <c r="P20" s="557">
        <f>'Non-Residential TSM UC'!P20*(Inputs!$C$21)</f>
        <v>865.67585029149416</v>
      </c>
      <c r="Q20" s="45">
        <f>SUM(N20:P20)</f>
        <v>18915.513752385759</v>
      </c>
      <c r="R20" s="141"/>
      <c r="S20" s="557">
        <f>'Non-Residential TSM UC'!S20*(Inputs!$C$21)</f>
        <v>3129.9273129422195</v>
      </c>
      <c r="T20" s="557">
        <f>'Non-Residential TSM UC'!T20*(Inputs!$C$21)</f>
        <v>967.82163835260417</v>
      </c>
      <c r="U20" s="45">
        <f>SUM(R20:T20)</f>
        <v>4097.7489512948232</v>
      </c>
      <c r="V20" s="141"/>
      <c r="W20" s="557">
        <f>'Non-Residential TSM UC'!W20*(Inputs!$C$21)</f>
        <v>58921.458906063985</v>
      </c>
      <c r="X20" s="557">
        <f>'Non-Residential TSM UC'!X20*(Inputs!$C$21)</f>
        <v>967.82163835260417</v>
      </c>
      <c r="Y20" s="45">
        <f>SUM(V20:X20)</f>
        <v>59889.280544416586</v>
      </c>
      <c r="AB20" s="35"/>
    </row>
    <row r="21" spans="1:28">
      <c r="A21" s="153" t="s">
        <v>123</v>
      </c>
      <c r="B21" s="141"/>
      <c r="C21" s="126"/>
      <c r="D21" s="126"/>
      <c r="E21" s="45"/>
      <c r="F21" s="141"/>
      <c r="G21" s="126"/>
      <c r="H21" s="126"/>
      <c r="I21" s="45"/>
      <c r="J21" s="565">
        <f>'Non-Residential TSM UC'!J21*(Inputs!$C$21)</f>
        <v>16768.219224341061</v>
      </c>
      <c r="K21" s="557">
        <f>'Non-Residential TSM UC'!K21*(Inputs!$C$21)</f>
        <v>9498.5730152662527</v>
      </c>
      <c r="L21" s="557">
        <f>'Non-Residential TSM UC'!L21*(Inputs!$C$21)</f>
        <v>865.67585029149416</v>
      </c>
      <c r="M21" s="45">
        <f t="shared" si="6"/>
        <v>27132.468089898804</v>
      </c>
      <c r="N21" s="565">
        <f>'Non-Residential TSM UC'!N21*(Inputs!$C$21)</f>
        <v>14168.457286169785</v>
      </c>
      <c r="O21" s="557">
        <f>'Non-Residential TSM UC'!O21*(Inputs!$C$21)</f>
        <v>3881.3806159244828</v>
      </c>
      <c r="P21" s="557">
        <f>'Non-Residential TSM UC'!P21*(Inputs!$C$21)</f>
        <v>865.67585029149416</v>
      </c>
      <c r="Q21" s="45">
        <f t="shared" si="3"/>
        <v>18915.513752385759</v>
      </c>
      <c r="R21" s="141"/>
      <c r="S21" s="557">
        <f>'Non-Residential TSM UC'!S21*(Inputs!$C$21)</f>
        <v>3129.9273129422195</v>
      </c>
      <c r="T21" s="557">
        <f>'Non-Residential TSM UC'!T21*(Inputs!$C$21)</f>
        <v>967.82163835260417</v>
      </c>
      <c r="U21" s="45">
        <f t="shared" ref="U21:U37" si="7">SUM(R21:T21)</f>
        <v>4097.7489512948232</v>
      </c>
      <c r="V21" s="141"/>
      <c r="W21" s="557">
        <f>'Non-Residential TSM UC'!W21*(Inputs!$C$21)</f>
        <v>58921.458906063985</v>
      </c>
      <c r="X21" s="557">
        <f>'Non-Residential TSM UC'!X21*(Inputs!$C$21)</f>
        <v>967.82163835260417</v>
      </c>
      <c r="Y21" s="45">
        <f t="shared" ref="Y21:Y37" si="8">SUM(V21:X21)</f>
        <v>59889.280544416586</v>
      </c>
      <c r="AB21" s="35"/>
    </row>
    <row r="22" spans="1:28">
      <c r="A22" s="153" t="s">
        <v>14</v>
      </c>
      <c r="B22" s="141"/>
      <c r="C22" s="126"/>
      <c r="D22" s="126"/>
      <c r="E22" s="45"/>
      <c r="F22" s="141"/>
      <c r="G22" s="126"/>
      <c r="H22" s="126"/>
      <c r="I22" s="45"/>
      <c r="J22" s="565">
        <f>'Non-Residential TSM UC'!J22*(Inputs!$C$21)</f>
        <v>33536.438448682122</v>
      </c>
      <c r="K22" s="557">
        <f>'Non-Residential TSM UC'!K22*(Inputs!$C$21)</f>
        <v>12664.764020355004</v>
      </c>
      <c r="L22" s="557">
        <f>'Non-Residential TSM UC'!L22*(Inputs!$C$21)</f>
        <v>865.67585029149416</v>
      </c>
      <c r="M22" s="45">
        <f t="shared" si="6"/>
        <v>47066.878319328622</v>
      </c>
      <c r="N22" s="565">
        <f>'Non-Residential TSM UC'!N22*(Inputs!$C$21)</f>
        <v>28336.91457233957</v>
      </c>
      <c r="O22" s="557">
        <f>'Non-Residential TSM UC'!O22*(Inputs!$C$21)</f>
        <v>6332.3820101775018</v>
      </c>
      <c r="P22" s="557">
        <f>'Non-Residential TSM UC'!P22*(Inputs!$C$21)</f>
        <v>865.67585029149416</v>
      </c>
      <c r="Q22" s="45">
        <f t="shared" si="3"/>
        <v>35534.972432808565</v>
      </c>
      <c r="R22" s="141"/>
      <c r="S22" s="557">
        <f>'Non-Residential TSM UC'!S22*(Inputs!$C$21)</f>
        <v>3129.9273129422195</v>
      </c>
      <c r="T22" s="557">
        <f>'Non-Residential TSM UC'!T22*(Inputs!$C$21)</f>
        <v>967.82163835260417</v>
      </c>
      <c r="U22" s="45">
        <f t="shared" si="7"/>
        <v>4097.7489512948232</v>
      </c>
      <c r="V22" s="141"/>
      <c r="W22" s="557">
        <f>'Non-Residential TSM UC'!W22*(Inputs!$C$21)</f>
        <v>58921.458906063985</v>
      </c>
      <c r="X22" s="557">
        <f>'Non-Residential TSM UC'!X22*(Inputs!$C$21)</f>
        <v>967.82163835260417</v>
      </c>
      <c r="Y22" s="45">
        <f t="shared" si="8"/>
        <v>59889.280544416586</v>
      </c>
    </row>
    <row r="23" spans="1:28">
      <c r="A23" s="153" t="s">
        <v>15</v>
      </c>
      <c r="B23" s="141"/>
      <c r="C23" s="126"/>
      <c r="D23" s="126"/>
      <c r="E23" s="45"/>
      <c r="F23" s="141"/>
      <c r="G23" s="126"/>
      <c r="H23" s="126"/>
      <c r="I23" s="45"/>
      <c r="J23" s="565">
        <f>'Non-Residential TSM UC'!J23*(Inputs!$C$21)</f>
        <v>33536.438448682122</v>
      </c>
      <c r="K23" s="557">
        <f>'Non-Residential TSM UC'!K23*(Inputs!$C$21)</f>
        <v>15830.955025443756</v>
      </c>
      <c r="L23" s="557">
        <f>'Non-Residential TSM UC'!L23*(Inputs!$C$21)</f>
        <v>865.67585029149416</v>
      </c>
      <c r="M23" s="45">
        <f t="shared" si="6"/>
        <v>50233.069324417374</v>
      </c>
      <c r="N23" s="565">
        <f>'Non-Residential TSM UC'!N23*(Inputs!$C$21)</f>
        <v>34353.01585099873</v>
      </c>
      <c r="O23" s="557">
        <f>'Non-Residential TSM UC'!O23*(Inputs!$C$21)</f>
        <v>6332.3820101775018</v>
      </c>
      <c r="P23" s="557">
        <f>'Non-Residential TSM UC'!P23*(Inputs!$C$21)</f>
        <v>865.67585029149416</v>
      </c>
      <c r="Q23" s="45">
        <f t="shared" si="3"/>
        <v>41551.073711467725</v>
      </c>
      <c r="R23" s="141"/>
      <c r="S23" s="557">
        <f>'Non-Residential TSM UC'!S23*(Inputs!$C$21)</f>
        <v>3129.9273129422195</v>
      </c>
      <c r="T23" s="557">
        <f>'Non-Residential TSM UC'!T23*(Inputs!$C$21)</f>
        <v>967.82163835260417</v>
      </c>
      <c r="U23" s="45">
        <f t="shared" si="7"/>
        <v>4097.7489512948232</v>
      </c>
      <c r="V23" s="141"/>
      <c r="W23" s="557">
        <f>'Non-Residential TSM UC'!W23*(Inputs!$C$21)</f>
        <v>58921.458906063985</v>
      </c>
      <c r="X23" s="557">
        <f>'Non-Residential TSM UC'!X23*(Inputs!$C$21)</f>
        <v>967.82163835260417</v>
      </c>
      <c r="Y23" s="45">
        <f t="shared" si="8"/>
        <v>59889.280544416586</v>
      </c>
    </row>
    <row r="24" spans="1:28">
      <c r="A24" s="153" t="s">
        <v>16</v>
      </c>
      <c r="B24" s="141"/>
      <c r="C24" s="126"/>
      <c r="D24" s="126"/>
      <c r="E24" s="45"/>
      <c r="F24" s="141"/>
      <c r="G24" s="126"/>
      <c r="H24" s="126"/>
      <c r="I24" s="45"/>
      <c r="J24" s="565">
        <f>'Non-Residential TSM UC'!J24*(Inputs!$C$21)</f>
        <v>39374.705413198702</v>
      </c>
      <c r="K24" s="557">
        <f>'Non-Residential TSM UC'!K24*(Inputs!$C$21)</f>
        <v>18997.146030532505</v>
      </c>
      <c r="L24" s="557">
        <f>'Non-Residential TSM UC'!L24*(Inputs!$C$21)</f>
        <v>865.67585029149416</v>
      </c>
      <c r="M24" s="45">
        <f t="shared" si="6"/>
        <v>59237.527294022708</v>
      </c>
      <c r="N24" s="565">
        <f>'Non-Residential TSM UC'!N24*(Inputs!$C$21)</f>
        <v>34353.01585099873</v>
      </c>
      <c r="O24" s="557">
        <f>'Non-Residential TSM UC'!O24*(Inputs!$C$21)</f>
        <v>6332.3820101775018</v>
      </c>
      <c r="P24" s="557">
        <f>'Non-Residential TSM UC'!P24*(Inputs!$C$21)</f>
        <v>865.67585029149416</v>
      </c>
      <c r="Q24" s="45">
        <f t="shared" si="3"/>
        <v>41551.073711467725</v>
      </c>
      <c r="R24" s="141"/>
      <c r="S24" s="557">
        <f>'Non-Residential TSM UC'!S24*(Inputs!$C$21)</f>
        <v>3129.9273129422195</v>
      </c>
      <c r="T24" s="557">
        <f>'Non-Residential TSM UC'!T24*(Inputs!$C$21)</f>
        <v>967.82163835260417</v>
      </c>
      <c r="U24" s="45">
        <f t="shared" si="7"/>
        <v>4097.7489512948232</v>
      </c>
      <c r="V24" s="141"/>
      <c r="W24" s="557">
        <f>'Non-Residential TSM UC'!W24*(Inputs!$C$21)</f>
        <v>58921.458906063985</v>
      </c>
      <c r="X24" s="557">
        <f>'Non-Residential TSM UC'!X24*(Inputs!$C$21)</f>
        <v>967.82163835260417</v>
      </c>
      <c r="Y24" s="45">
        <f t="shared" si="8"/>
        <v>59889.280544416586</v>
      </c>
    </row>
    <row r="25" spans="1:28">
      <c r="A25" s="153" t="s">
        <v>17</v>
      </c>
      <c r="B25" s="141"/>
      <c r="C25" s="126"/>
      <c r="D25" s="126"/>
      <c r="E25" s="45"/>
      <c r="F25" s="141"/>
      <c r="G25" s="126"/>
      <c r="H25" s="126"/>
      <c r="I25" s="45"/>
      <c r="J25" s="565">
        <f>'Non-Residential TSM UC'!J25*(Inputs!$C$21)</f>
        <v>39374.705413198702</v>
      </c>
      <c r="K25" s="557">
        <f>'Non-Residential TSM UC'!K25*(Inputs!$C$21)</f>
        <v>28495.71904579876</v>
      </c>
      <c r="L25" s="557">
        <f>'Non-Residential TSM UC'!L25*(Inputs!$C$21)</f>
        <v>865.67585029149416</v>
      </c>
      <c r="M25" s="45">
        <f t="shared" si="6"/>
        <v>68736.100309288959</v>
      </c>
      <c r="N25" s="565">
        <f>'Non-Residential TSM UC'!N25*(Inputs!$C$21)</f>
        <v>39689.604854849094</v>
      </c>
      <c r="O25" s="557">
        <f>'Non-Residential TSM UC'!O25*(Inputs!$C$21)</f>
        <v>9498.5730152662527</v>
      </c>
      <c r="P25" s="557">
        <f>'Non-Residential TSM UC'!P25*(Inputs!$C$21)</f>
        <v>865.67585029149416</v>
      </c>
      <c r="Q25" s="45">
        <f t="shared" si="3"/>
        <v>50053.853720406842</v>
      </c>
      <c r="R25" s="141"/>
      <c r="S25" s="557">
        <f>'Non-Residential TSM UC'!S25*(Inputs!$C$21)</f>
        <v>3129.9273129422195</v>
      </c>
      <c r="T25" s="557">
        <f>'Non-Residential TSM UC'!T25*(Inputs!$C$21)</f>
        <v>967.82163835260417</v>
      </c>
      <c r="U25" s="45">
        <f t="shared" si="7"/>
        <v>4097.7489512948232</v>
      </c>
      <c r="V25" s="141"/>
      <c r="W25" s="557">
        <f>'Non-Residential TSM UC'!W25*(Inputs!$C$21)</f>
        <v>58921.458906063985</v>
      </c>
      <c r="X25" s="557">
        <f>'Non-Residential TSM UC'!X25*(Inputs!$C$21)</f>
        <v>967.82163835260417</v>
      </c>
      <c r="Y25" s="45">
        <f t="shared" si="8"/>
        <v>59889.280544416586</v>
      </c>
    </row>
    <row r="26" spans="1:28">
      <c r="A26" s="153" t="s">
        <v>18</v>
      </c>
      <c r="B26" s="141"/>
      <c r="C26" s="126"/>
      <c r="D26" s="126"/>
      <c r="E26" s="45"/>
      <c r="F26" s="141"/>
      <c r="G26" s="126"/>
      <c r="H26" s="126"/>
      <c r="I26" s="45"/>
      <c r="J26" s="565">
        <f>'Non-Residential TSM UC'!J26*(Inputs!$C$21)</f>
        <v>39374.705413198702</v>
      </c>
      <c r="K26" s="557">
        <f>'Non-Residential TSM UC'!K26*(Inputs!$C$21)</f>
        <v>37994.292061065011</v>
      </c>
      <c r="L26" s="557">
        <f>'Non-Residential TSM UC'!L26*(Inputs!$C$21)</f>
        <v>865.67585029149416</v>
      </c>
      <c r="M26" s="45">
        <f t="shared" si="6"/>
        <v>78234.673324555202</v>
      </c>
      <c r="N26" s="565">
        <f>'Non-Residential TSM UC'!N26*(Inputs!$C$21)</f>
        <v>39689.604854849094</v>
      </c>
      <c r="O26" s="557">
        <f>'Non-Residential TSM UC'!O26*(Inputs!$C$21)</f>
        <v>12664.764020355004</v>
      </c>
      <c r="P26" s="557">
        <f>'Non-Residential TSM UC'!P26*(Inputs!$C$21)</f>
        <v>865.67585029149416</v>
      </c>
      <c r="Q26" s="45">
        <f t="shared" si="3"/>
        <v>53220.044725495594</v>
      </c>
      <c r="R26" s="141"/>
      <c r="S26" s="557">
        <f>'Non-Residential TSM UC'!S26*(Inputs!$C$21)</f>
        <v>3129.9273129422195</v>
      </c>
      <c r="T26" s="557">
        <f>'Non-Residential TSM UC'!T26*(Inputs!$C$21)</f>
        <v>967.82163835260417</v>
      </c>
      <c r="U26" s="45">
        <f t="shared" si="7"/>
        <v>4097.7489512948232</v>
      </c>
      <c r="V26" s="141"/>
      <c r="W26" s="557">
        <f>'Non-Residential TSM UC'!W26*(Inputs!$C$21)</f>
        <v>58921.458906063985</v>
      </c>
      <c r="X26" s="557">
        <f>'Non-Residential TSM UC'!X26*(Inputs!$C$21)</f>
        <v>967.82163835260417</v>
      </c>
      <c r="Y26" s="45">
        <f t="shared" si="8"/>
        <v>59889.280544416586</v>
      </c>
    </row>
    <row r="27" spans="1:28">
      <c r="A27" s="153" t="s">
        <v>19</v>
      </c>
      <c r="B27" s="141"/>
      <c r="C27" s="126"/>
      <c r="D27" s="126"/>
      <c r="E27" s="45"/>
      <c r="F27" s="141"/>
      <c r="G27" s="126"/>
      <c r="H27" s="23"/>
      <c r="I27" s="45"/>
      <c r="J27" s="565">
        <f>'Non-Residential TSM UC'!J27*(Inputs!$C$21)</f>
        <v>39374.705413198702</v>
      </c>
      <c r="K27" s="557">
        <f>'Non-Residential TSM UC'!K27*(Inputs!$C$21)</f>
        <v>37994.292061065011</v>
      </c>
      <c r="L27" s="557">
        <f>'Non-Residential TSM UC'!L27*(Inputs!$C$21)</f>
        <v>865.67585029149416</v>
      </c>
      <c r="M27" s="45">
        <f t="shared" si="6"/>
        <v>78234.673324555202</v>
      </c>
      <c r="N27" s="565">
        <f>'Non-Residential TSM UC'!N27*(Inputs!$C$21)</f>
        <v>39689.604854849094</v>
      </c>
      <c r="O27" s="557">
        <f>'Non-Residential TSM UC'!O27*(Inputs!$C$21)</f>
        <v>15830.955025443756</v>
      </c>
      <c r="P27" s="557">
        <f>'Non-Residential TSM UC'!P27*(Inputs!$C$21)</f>
        <v>865.67585029149416</v>
      </c>
      <c r="Q27" s="45">
        <f t="shared" si="3"/>
        <v>56386.235730584347</v>
      </c>
      <c r="R27" s="141"/>
      <c r="S27" s="557">
        <f>'Non-Residential TSM UC'!S27*(Inputs!$C$21)</f>
        <v>3129.9273129422195</v>
      </c>
      <c r="T27" s="557">
        <f>'Non-Residential TSM UC'!T27*(Inputs!$C$21)</f>
        <v>967.82163835260417</v>
      </c>
      <c r="U27" s="45">
        <f t="shared" si="7"/>
        <v>4097.7489512948232</v>
      </c>
      <c r="V27" s="141"/>
      <c r="W27" s="557">
        <f>'Non-Residential TSM UC'!W27*(Inputs!$C$21)</f>
        <v>58921.458906063985</v>
      </c>
      <c r="X27" s="557">
        <f>'Non-Residential TSM UC'!X27*(Inputs!$C$21)</f>
        <v>967.82163835260417</v>
      </c>
      <c r="Y27" s="45">
        <f t="shared" si="8"/>
        <v>59889.280544416586</v>
      </c>
    </row>
    <row r="28" spans="1:28">
      <c r="A28" s="153" t="s">
        <v>20</v>
      </c>
      <c r="B28" s="141"/>
      <c r="C28" s="126"/>
      <c r="D28" s="126"/>
      <c r="E28" s="45"/>
      <c r="F28" s="141"/>
      <c r="G28" s="126"/>
      <c r="H28" s="23"/>
      <c r="I28" s="45"/>
      <c r="J28" s="565">
        <f>'Non-Residential TSM UC'!J28*(Inputs!$C$21)</f>
        <v>39374.705413198702</v>
      </c>
      <c r="K28" s="557">
        <f>'Non-Residential TSM UC'!K28*(Inputs!$C$21)</f>
        <v>37994.292061065011</v>
      </c>
      <c r="L28" s="557">
        <f>'Non-Residential TSM UC'!L28*(Inputs!$C$21)</f>
        <v>865.67585029149416</v>
      </c>
      <c r="M28" s="45">
        <f t="shared" si="6"/>
        <v>78234.673324555202</v>
      </c>
      <c r="N28" s="565">
        <f>'Non-Residential TSM UC'!N28*(Inputs!$C$21)</f>
        <v>50459.059403389889</v>
      </c>
      <c r="O28" s="557">
        <f>'Non-Residential TSM UC'!O28*(Inputs!$C$21)</f>
        <v>25329.528040710007</v>
      </c>
      <c r="P28" s="557">
        <f>'Non-Residential TSM UC'!P28*(Inputs!$C$21)</f>
        <v>865.67585029149416</v>
      </c>
      <c r="Q28" s="45">
        <f t="shared" si="3"/>
        <v>76654.263294391378</v>
      </c>
      <c r="R28" s="141"/>
      <c r="S28" s="557">
        <f>'Non-Residential TSM UC'!S28*(Inputs!$C$21)</f>
        <v>3129.9273129422195</v>
      </c>
      <c r="T28" s="557">
        <f>'Non-Residential TSM UC'!T28*(Inputs!$C$21)</f>
        <v>967.82163835260417</v>
      </c>
      <c r="U28" s="45">
        <f t="shared" si="7"/>
        <v>4097.7489512948232</v>
      </c>
      <c r="V28" s="141"/>
      <c r="W28" s="557">
        <f>'Non-Residential TSM UC'!W28*(Inputs!$C$21)</f>
        <v>58921.458906063985</v>
      </c>
      <c r="X28" s="557">
        <f>'Non-Residential TSM UC'!X28*(Inputs!$C$21)</f>
        <v>967.82163835260417</v>
      </c>
      <c r="Y28" s="45">
        <f t="shared" si="8"/>
        <v>59889.280544416586</v>
      </c>
    </row>
    <row r="29" spans="1:28">
      <c r="A29" s="153" t="s">
        <v>21</v>
      </c>
      <c r="B29" s="141"/>
      <c r="C29" s="126"/>
      <c r="D29" s="126"/>
      <c r="E29" s="45"/>
      <c r="F29" s="141"/>
      <c r="G29" s="126"/>
      <c r="H29" s="23"/>
      <c r="I29" s="45"/>
      <c r="J29" s="565"/>
      <c r="K29" s="126"/>
      <c r="L29" s="126"/>
      <c r="M29" s="45"/>
      <c r="N29" s="565">
        <f>'Non-Residential TSM UC'!N29*(Inputs!$C$21)</f>
        <v>55108.40293715908</v>
      </c>
      <c r="O29" s="557">
        <f>'Non-Residential TSM UC'!O29*(Inputs!$C$21)</f>
        <v>31661.910050887513</v>
      </c>
      <c r="P29" s="557">
        <f>'Non-Residential TSM UC'!P29*(Inputs!$C$21)</f>
        <v>865.67585029149416</v>
      </c>
      <c r="Q29" s="45">
        <f t="shared" si="3"/>
        <v>87635.988838338075</v>
      </c>
      <c r="R29" s="141"/>
      <c r="S29" s="557">
        <f>'Non-Residential TSM UC'!S29*(Inputs!$C$21)</f>
        <v>3129.9273129422195</v>
      </c>
      <c r="T29" s="557">
        <f>'Non-Residential TSM UC'!T29*(Inputs!$C$21)</f>
        <v>967.82163835260417</v>
      </c>
      <c r="U29" s="45">
        <f t="shared" si="7"/>
        <v>4097.7489512948232</v>
      </c>
      <c r="V29" s="141"/>
      <c r="W29" s="557">
        <f>'Non-Residential TSM UC'!W29*(Inputs!$C$21)</f>
        <v>58921.458906063985</v>
      </c>
      <c r="X29" s="557">
        <f>'Non-Residential TSM UC'!X29*(Inputs!$C$21)</f>
        <v>967.82163835260417</v>
      </c>
      <c r="Y29" s="45">
        <f t="shared" si="8"/>
        <v>59889.280544416586</v>
      </c>
    </row>
    <row r="30" spans="1:28">
      <c r="A30" s="153" t="s">
        <v>22</v>
      </c>
      <c r="B30" s="141"/>
      <c r="C30" s="126"/>
      <c r="D30" s="126"/>
      <c r="E30" s="45"/>
      <c r="F30" s="141"/>
      <c r="G30" s="126"/>
      <c r="H30" s="23"/>
      <c r="I30" s="45"/>
      <c r="J30" s="141"/>
      <c r="K30" s="126"/>
      <c r="L30" s="126"/>
      <c r="M30" s="45"/>
      <c r="N30" s="565">
        <f>'Non-Residential TSM UC'!N30*(Inputs!$C$21)</f>
        <v>55108.40293715908</v>
      </c>
      <c r="O30" s="557">
        <f>'Non-Residential TSM UC'!O30*(Inputs!$C$21)</f>
        <v>37994.292061065011</v>
      </c>
      <c r="P30" s="557">
        <f>'Non-Residential TSM UC'!P30*(Inputs!$C$21)</f>
        <v>865.67585029149416</v>
      </c>
      <c r="Q30" s="45">
        <f t="shared" si="3"/>
        <v>93968.37084851558</v>
      </c>
      <c r="R30" s="141"/>
      <c r="S30" s="557">
        <f>'Non-Residential TSM UC'!S30*(Inputs!$C$21)</f>
        <v>3129.9273129422195</v>
      </c>
      <c r="T30" s="557">
        <f>'Non-Residential TSM UC'!T30*(Inputs!$C$21)</f>
        <v>967.82163835260417</v>
      </c>
      <c r="U30" s="45">
        <f t="shared" si="7"/>
        <v>4097.7489512948232</v>
      </c>
      <c r="V30" s="141"/>
      <c r="W30" s="557">
        <f>'Non-Residential TSM UC'!W30*(Inputs!$C$21)</f>
        <v>58921.458906063985</v>
      </c>
      <c r="X30" s="557">
        <f>'Non-Residential TSM UC'!X30*(Inputs!$C$21)</f>
        <v>967.82163835260417</v>
      </c>
      <c r="Y30" s="45">
        <f t="shared" si="8"/>
        <v>59889.280544416586</v>
      </c>
    </row>
    <row r="31" spans="1:28">
      <c r="A31" s="153" t="s">
        <v>23</v>
      </c>
      <c r="B31" s="141"/>
      <c r="C31" s="126"/>
      <c r="D31" s="126"/>
      <c r="E31" s="45"/>
      <c r="F31" s="141"/>
      <c r="G31" s="126"/>
      <c r="H31" s="23"/>
      <c r="I31" s="45"/>
      <c r="J31" s="141"/>
      <c r="K31" s="126"/>
      <c r="L31" s="126"/>
      <c r="M31" s="45"/>
      <c r="N31" s="565">
        <f>'Non-Residential TSM UC'!N31*(Inputs!$C$21)</f>
        <v>55108.40293715908</v>
      </c>
      <c r="O31" s="557">
        <f>'Non-Residential TSM UC'!O31*(Inputs!$C$21)</f>
        <v>37994.292061065011</v>
      </c>
      <c r="P31" s="557">
        <f>'Non-Residential TSM UC'!P31*(Inputs!$C$21)</f>
        <v>865.67585029149416</v>
      </c>
      <c r="Q31" s="45">
        <f t="shared" si="3"/>
        <v>93968.37084851558</v>
      </c>
      <c r="R31" s="141"/>
      <c r="S31" s="557">
        <f>'Non-Residential TSM UC'!S31*(Inputs!$C$21)</f>
        <v>7772.9285855999342</v>
      </c>
      <c r="T31" s="557">
        <f>'Non-Residential TSM UC'!T31*(Inputs!$C$21)</f>
        <v>967.82163835260417</v>
      </c>
      <c r="U31" s="45">
        <f t="shared" si="7"/>
        <v>8740.7502239525384</v>
      </c>
      <c r="V31" s="141"/>
      <c r="W31" s="557">
        <f>'Non-Residential TSM UC'!W31*(Inputs!$C$21)</f>
        <v>146326.81415392709</v>
      </c>
      <c r="X31" s="557">
        <f>'Non-Residential TSM UC'!X31*(Inputs!$C$21)</f>
        <v>967.82163835260417</v>
      </c>
      <c r="Y31" s="45">
        <f t="shared" si="8"/>
        <v>147294.6357922797</v>
      </c>
    </row>
    <row r="32" spans="1:28">
      <c r="A32" s="153" t="s">
        <v>24</v>
      </c>
      <c r="B32" s="141"/>
      <c r="C32" s="126"/>
      <c r="D32" s="126"/>
      <c r="E32" s="45"/>
      <c r="F32" s="141"/>
      <c r="G32" s="126"/>
      <c r="H32" s="23"/>
      <c r="I32" s="45"/>
      <c r="J32" s="141"/>
      <c r="K32" s="126"/>
      <c r="L32" s="126"/>
      <c r="M32" s="45"/>
      <c r="N32" s="565">
        <f>'Non-Residential TSM UC'!N32*(Inputs!$C$21)</f>
        <v>55108.40293715908</v>
      </c>
      <c r="O32" s="557">
        <f>'Non-Residential TSM UC'!O32*(Inputs!$C$21)</f>
        <v>37994.292061065011</v>
      </c>
      <c r="P32" s="557">
        <f>'Non-Residential TSM UC'!P32*(Inputs!$C$21)</f>
        <v>865.67585029149416</v>
      </c>
      <c r="Q32" s="45">
        <f t="shared" si="3"/>
        <v>93968.37084851558</v>
      </c>
      <c r="R32" s="141"/>
      <c r="S32" s="557">
        <f>'Non-Residential TSM UC'!S32*(Inputs!$C$21)</f>
        <v>7772.9285855999342</v>
      </c>
      <c r="T32" s="557">
        <f>'Non-Residential TSM UC'!T32*(Inputs!$C$21)</f>
        <v>967.82163835260417</v>
      </c>
      <c r="U32" s="45">
        <f t="shared" si="7"/>
        <v>8740.7502239525384</v>
      </c>
      <c r="V32" s="141"/>
      <c r="W32" s="557">
        <f>'Non-Residential TSM UC'!W32*(Inputs!$C$21)</f>
        <v>146326.81415392709</v>
      </c>
      <c r="X32" s="557">
        <f>'Non-Residential TSM UC'!X32*(Inputs!$C$21)</f>
        <v>967.82163835260417</v>
      </c>
      <c r="Y32" s="45">
        <f t="shared" si="8"/>
        <v>147294.6357922797</v>
      </c>
      <c r="AB32" s="35"/>
    </row>
    <row r="33" spans="1:25">
      <c r="A33" s="153" t="s">
        <v>25</v>
      </c>
      <c r="B33" s="141"/>
      <c r="C33" s="126"/>
      <c r="D33" s="126"/>
      <c r="E33" s="45"/>
      <c r="F33" s="141"/>
      <c r="G33" s="126"/>
      <c r="H33" s="23"/>
      <c r="I33" s="45"/>
      <c r="J33" s="141"/>
      <c r="K33" s="126"/>
      <c r="L33" s="126"/>
      <c r="M33" s="45"/>
      <c r="N33" s="565">
        <f>'Non-Residential TSM UC'!N33*(Inputs!$C$21)</f>
        <v>55108.40293715908</v>
      </c>
      <c r="O33" s="557">
        <f>'Non-Residential TSM UC'!O33*(Inputs!$C$21)</f>
        <v>37994.292061065011</v>
      </c>
      <c r="P33" s="557">
        <f>'Non-Residential TSM UC'!P33*(Inputs!$C$21)</f>
        <v>865.67585029149416</v>
      </c>
      <c r="Q33" s="45">
        <f t="shared" si="3"/>
        <v>93968.37084851558</v>
      </c>
      <c r="R33" s="141"/>
      <c r="S33" s="557">
        <f>'Non-Residential TSM UC'!S33*(Inputs!$C$21)</f>
        <v>7772.9285855999342</v>
      </c>
      <c r="T33" s="557">
        <f>'Non-Residential TSM UC'!T33*(Inputs!$C$21)</f>
        <v>967.82163835260417</v>
      </c>
      <c r="U33" s="45">
        <f t="shared" si="7"/>
        <v>8740.7502239525384</v>
      </c>
      <c r="V33" s="141"/>
      <c r="W33" s="557">
        <f>'Non-Residential TSM UC'!W33*(Inputs!$C$21)</f>
        <v>146326.81415392709</v>
      </c>
      <c r="X33" s="557">
        <f>'Non-Residential TSM UC'!X33*(Inputs!$C$21)</f>
        <v>967.82163835260417</v>
      </c>
      <c r="Y33" s="45">
        <f t="shared" si="8"/>
        <v>147294.6357922797</v>
      </c>
    </row>
    <row r="34" spans="1:25">
      <c r="A34" s="153" t="s">
        <v>125</v>
      </c>
      <c r="B34" s="141"/>
      <c r="C34" s="126"/>
      <c r="D34" s="126"/>
      <c r="E34" s="45"/>
      <c r="F34" s="141"/>
      <c r="G34" s="126"/>
      <c r="H34" s="23"/>
      <c r="I34" s="45"/>
      <c r="J34" s="137"/>
      <c r="K34" s="23"/>
      <c r="L34" s="23"/>
      <c r="M34" s="45"/>
      <c r="N34" s="565">
        <f>'Non-Residential TSM UC'!N34*(Inputs!$C$21)</f>
        <v>55108.40293715908</v>
      </c>
      <c r="O34" s="557">
        <f>'Non-Residential TSM UC'!O34*(Inputs!$C$21)</f>
        <v>37994.292061065011</v>
      </c>
      <c r="P34" s="557">
        <f>'Non-Residential TSM UC'!P34*(Inputs!$C$21)</f>
        <v>865.67585029149416</v>
      </c>
      <c r="Q34" s="45">
        <f t="shared" si="3"/>
        <v>93968.37084851558</v>
      </c>
      <c r="R34" s="141"/>
      <c r="S34" s="557">
        <f>'Non-Residential TSM UC'!S34*(Inputs!$C$21)</f>
        <v>7772.9285855999342</v>
      </c>
      <c r="T34" s="557">
        <f>'Non-Residential TSM UC'!T34*(Inputs!$C$21)</f>
        <v>967.82163835260417</v>
      </c>
      <c r="U34" s="45">
        <f t="shared" si="7"/>
        <v>8740.7502239525384</v>
      </c>
      <c r="V34" s="141"/>
      <c r="W34" s="557">
        <f>'Non-Residential TSM UC'!W34*(Inputs!$C$21)</f>
        <v>146326.81415392709</v>
      </c>
      <c r="X34" s="557">
        <f>'Non-Residential TSM UC'!X34*(Inputs!$C$21)</f>
        <v>967.82163835260417</v>
      </c>
      <c r="Y34" s="45">
        <f t="shared" si="8"/>
        <v>147294.6357922797</v>
      </c>
    </row>
    <row r="35" spans="1:25">
      <c r="A35" s="153" t="s">
        <v>126</v>
      </c>
      <c r="B35" s="141"/>
      <c r="C35" s="126"/>
      <c r="D35" s="23"/>
      <c r="E35" s="45"/>
      <c r="F35" s="141"/>
      <c r="G35" s="126"/>
      <c r="H35" s="23"/>
      <c r="I35" s="45"/>
      <c r="J35" s="137"/>
      <c r="K35" s="23"/>
      <c r="L35" s="23"/>
      <c r="M35" s="45"/>
      <c r="N35" s="565"/>
      <c r="O35" s="126"/>
      <c r="P35" s="23"/>
      <c r="Q35" s="14"/>
      <c r="R35" s="141"/>
      <c r="S35" s="557">
        <f>'Non-Residential TSM UC'!S35*(Inputs!$C$21)</f>
        <v>7772.9285855999342</v>
      </c>
      <c r="T35" s="557">
        <f>'Non-Residential TSM UC'!T35*(Inputs!$C$21)</f>
        <v>967.82163835260417</v>
      </c>
      <c r="U35" s="45">
        <f t="shared" si="7"/>
        <v>8740.7502239525384</v>
      </c>
      <c r="V35" s="141"/>
      <c r="W35" s="557">
        <f>'Non-Residential TSM UC'!W35*(Inputs!$C$21)</f>
        <v>146326.81415392709</v>
      </c>
      <c r="X35" s="557">
        <f>'Non-Residential TSM UC'!X35*(Inputs!$C$21)</f>
        <v>967.82163835260417</v>
      </c>
      <c r="Y35" s="45">
        <f t="shared" si="8"/>
        <v>147294.6357922797</v>
      </c>
    </row>
    <row r="36" spans="1:25">
      <c r="A36" s="153" t="s">
        <v>26</v>
      </c>
      <c r="B36" s="141"/>
      <c r="C36" s="126"/>
      <c r="D36" s="23"/>
      <c r="E36" s="45"/>
      <c r="F36" s="141"/>
      <c r="G36" s="126"/>
      <c r="H36" s="23"/>
      <c r="I36" s="45"/>
      <c r="J36" s="137"/>
      <c r="K36" s="23"/>
      <c r="L36" s="23"/>
      <c r="M36" s="45"/>
      <c r="N36" s="565"/>
      <c r="O36" s="126"/>
      <c r="P36" s="23"/>
      <c r="Q36" s="14"/>
      <c r="R36" s="141"/>
      <c r="S36" s="557">
        <f>'Non-Residential TSM UC'!S36*(Inputs!$C$21)</f>
        <v>7772.9285855999342</v>
      </c>
      <c r="T36" s="557">
        <f>'Non-Residential TSM UC'!T36*(Inputs!$C$21)</f>
        <v>967.82163835260417</v>
      </c>
      <c r="U36" s="45">
        <f t="shared" si="7"/>
        <v>8740.7502239525384</v>
      </c>
      <c r="V36" s="141"/>
      <c r="W36" s="557">
        <f>'Non-Residential TSM UC'!W36*(Inputs!$C$21)</f>
        <v>146326.81415392709</v>
      </c>
      <c r="X36" s="557">
        <f>'Non-Residential TSM UC'!X36*(Inputs!$C$21)</f>
        <v>967.82163835260417</v>
      </c>
      <c r="Y36" s="45">
        <f t="shared" si="8"/>
        <v>147294.6357922797</v>
      </c>
    </row>
    <row r="37" spans="1:25">
      <c r="A37" s="153" t="s">
        <v>27</v>
      </c>
      <c r="B37" s="141"/>
      <c r="C37" s="126"/>
      <c r="D37" s="13"/>
      <c r="E37" s="14"/>
      <c r="F37" s="141"/>
      <c r="G37" s="126"/>
      <c r="H37" s="13"/>
      <c r="I37" s="14"/>
      <c r="J37" s="135"/>
      <c r="K37" s="13"/>
      <c r="L37" s="13"/>
      <c r="M37" s="14"/>
      <c r="N37" s="141"/>
      <c r="O37" s="126"/>
      <c r="P37" s="13"/>
      <c r="Q37" s="14"/>
      <c r="R37" s="141"/>
      <c r="S37" s="557">
        <f>'Non-Residential TSM UC'!S37*(Inputs!$C$21)</f>
        <v>7772.9285855999342</v>
      </c>
      <c r="T37" s="557">
        <f>'Non-Residential TSM UC'!T37*(Inputs!$C$21)</f>
        <v>967.82163835260417</v>
      </c>
      <c r="U37" s="45">
        <f t="shared" si="7"/>
        <v>8740.7502239525384</v>
      </c>
      <c r="V37" s="141"/>
      <c r="W37" s="557">
        <f>'Non-Residential TSM UC'!W37*(Inputs!$C$21)</f>
        <v>146326.81415392709</v>
      </c>
      <c r="X37" s="557">
        <f>'Non-Residential TSM UC'!X37*(Inputs!$C$21)</f>
        <v>967.82163835260417</v>
      </c>
      <c r="Y37" s="45">
        <f t="shared" si="8"/>
        <v>147294.6357922797</v>
      </c>
    </row>
    <row r="38" spans="1:25" ht="13.5" thickBot="1">
      <c r="A38" s="243"/>
      <c r="B38" s="15"/>
      <c r="C38" s="32"/>
      <c r="D38" s="32"/>
      <c r="E38" s="106"/>
      <c r="F38" s="15"/>
      <c r="G38" s="32"/>
      <c r="H38" s="32"/>
      <c r="I38" s="106"/>
      <c r="J38" s="15"/>
      <c r="K38" s="32"/>
      <c r="L38" s="32"/>
      <c r="M38" s="106"/>
      <c r="N38" s="274"/>
      <c r="O38" s="275"/>
      <c r="P38" s="32"/>
      <c r="Q38" s="106"/>
      <c r="R38" s="274"/>
      <c r="S38" s="275"/>
      <c r="T38" s="32"/>
      <c r="U38" s="106"/>
      <c r="V38" s="274"/>
      <c r="W38" s="275"/>
      <c r="X38" s="32"/>
      <c r="Y38" s="106"/>
    </row>
    <row r="39" spans="1:25">
      <c r="A39" s="149"/>
      <c r="B39" s="320"/>
      <c r="C39" s="320"/>
      <c r="D39" s="320"/>
      <c r="E39" s="320"/>
      <c r="F39" s="320"/>
      <c r="G39" s="320"/>
      <c r="H39" s="320"/>
      <c r="I39" s="320"/>
      <c r="J39" s="320"/>
      <c r="K39" s="320"/>
      <c r="L39" s="320"/>
      <c r="M39" s="320"/>
      <c r="N39" s="320"/>
      <c r="O39" s="320"/>
      <c r="P39" s="320"/>
      <c r="Q39" s="320"/>
      <c r="R39" s="320"/>
      <c r="S39" s="320"/>
      <c r="T39" s="320"/>
      <c r="U39" s="320"/>
      <c r="V39" s="320"/>
      <c r="W39" s="320"/>
      <c r="X39" s="320"/>
      <c r="Y39" s="575"/>
    </row>
    <row r="40" spans="1:25">
      <c r="A40" s="33" t="s">
        <v>448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01"/>
    </row>
    <row r="41" spans="1:25">
      <c r="A41" s="33"/>
      <c r="B41" s="600" t="s">
        <v>492</v>
      </c>
      <c r="C41" s="248"/>
      <c r="D41" s="248"/>
      <c r="E41" s="248"/>
      <c r="F41" s="248"/>
      <c r="G41" s="248"/>
      <c r="H41" s="248"/>
      <c r="I41" s="248"/>
      <c r="J41" s="248"/>
      <c r="K41" s="248"/>
      <c r="L41" s="248"/>
      <c r="M41" s="248"/>
      <c r="N41" s="248"/>
      <c r="O41" s="248"/>
      <c r="P41" s="248"/>
      <c r="Q41" s="248"/>
      <c r="R41" s="248"/>
      <c r="S41" s="248"/>
      <c r="T41" s="248"/>
      <c r="U41" s="248"/>
      <c r="V41" s="12"/>
      <c r="W41" s="248"/>
      <c r="X41" s="248"/>
      <c r="Y41" s="601"/>
    </row>
    <row r="42" spans="1:25" ht="13.5" thickBot="1">
      <c r="A42" s="15"/>
      <c r="B42" s="597" t="s">
        <v>375</v>
      </c>
      <c r="C42" s="583"/>
      <c r="D42" s="583"/>
      <c r="E42" s="583"/>
      <c r="F42" s="583"/>
      <c r="G42" s="583"/>
      <c r="H42" s="583"/>
      <c r="I42" s="583"/>
      <c r="J42" s="583"/>
      <c r="K42" s="583"/>
      <c r="L42" s="583"/>
      <c r="M42" s="583"/>
      <c r="N42" s="583"/>
      <c r="O42" s="583"/>
      <c r="P42" s="583"/>
      <c r="Q42" s="583"/>
      <c r="R42" s="583"/>
      <c r="S42" s="583"/>
      <c r="T42" s="583"/>
      <c r="U42" s="583"/>
      <c r="V42" s="32"/>
      <c r="W42" s="583"/>
      <c r="X42" s="583"/>
      <c r="Y42" s="586"/>
    </row>
    <row r="43" spans="1:25">
      <c r="B43" s="544"/>
      <c r="C43" s="544"/>
      <c r="D43" s="544"/>
      <c r="E43" s="544"/>
      <c r="F43" s="544"/>
      <c r="G43" s="544"/>
      <c r="H43" s="544"/>
      <c r="I43" s="544"/>
      <c r="J43" s="544"/>
      <c r="K43" s="544"/>
      <c r="L43" s="544"/>
      <c r="M43" s="544"/>
      <c r="N43" s="544"/>
      <c r="O43" s="544"/>
      <c r="P43" s="544"/>
      <c r="Q43" s="544"/>
      <c r="R43" s="544"/>
      <c r="S43" s="544"/>
      <c r="T43" s="544"/>
      <c r="U43" s="544"/>
      <c r="W43" s="544"/>
      <c r="X43" s="544"/>
      <c r="Y43" s="544"/>
    </row>
    <row r="44" spans="1:25">
      <c r="B44" s="544"/>
      <c r="C44" s="544"/>
      <c r="D44" s="544"/>
      <c r="E44" s="544"/>
      <c r="F44" s="544"/>
      <c r="G44" s="544"/>
      <c r="H44" s="544"/>
      <c r="I44" s="544"/>
      <c r="J44" s="544"/>
      <c r="K44" s="544"/>
      <c r="L44" s="544"/>
      <c r="M44" s="544"/>
      <c r="N44" s="544"/>
      <c r="O44" s="544"/>
      <c r="P44" s="544"/>
      <c r="Q44" s="544"/>
      <c r="R44" s="544"/>
      <c r="S44" s="544"/>
      <c r="T44" s="544"/>
      <c r="U44" s="544"/>
      <c r="W44" s="544"/>
      <c r="X44" s="544"/>
      <c r="Y44" s="544"/>
    </row>
    <row r="45" spans="1:25">
      <c r="B45" s="544"/>
      <c r="C45" s="544"/>
      <c r="D45" s="544"/>
      <c r="E45" s="544"/>
      <c r="F45" s="544"/>
      <c r="G45" s="544"/>
      <c r="H45" s="544"/>
      <c r="I45" s="544"/>
      <c r="J45" s="544"/>
      <c r="K45" s="544"/>
      <c r="L45" s="544"/>
      <c r="M45" s="544"/>
      <c r="N45" s="544"/>
      <c r="O45" s="544"/>
      <c r="P45" s="544"/>
      <c r="Q45" s="544"/>
      <c r="R45" s="544"/>
      <c r="S45" s="544"/>
      <c r="T45" s="544"/>
      <c r="U45" s="544"/>
      <c r="W45" s="544"/>
      <c r="X45" s="544"/>
      <c r="Y45" s="544"/>
    </row>
    <row r="46" spans="1:25">
      <c r="B46" s="544"/>
      <c r="C46" s="544"/>
      <c r="D46" s="544"/>
      <c r="E46" s="544"/>
      <c r="F46" s="544"/>
      <c r="G46" s="544"/>
      <c r="H46" s="544"/>
      <c r="I46" s="544"/>
      <c r="J46" s="544"/>
      <c r="K46" s="544"/>
      <c r="L46" s="544"/>
      <c r="M46" s="544"/>
      <c r="N46" s="544"/>
      <c r="O46" s="544"/>
      <c r="P46" s="544"/>
      <c r="Q46" s="544"/>
      <c r="R46" s="544"/>
      <c r="S46" s="544"/>
      <c r="T46" s="544"/>
      <c r="U46" s="544"/>
      <c r="W46" s="544"/>
      <c r="X46" s="544"/>
      <c r="Y46" s="544"/>
    </row>
    <row r="47" spans="1:25" ht="15.75">
      <c r="B47" s="544"/>
      <c r="C47" s="544"/>
      <c r="D47" s="566"/>
      <c r="E47" s="544"/>
      <c r="F47" s="544"/>
      <c r="G47" s="544"/>
      <c r="H47" s="544"/>
      <c r="I47" s="544"/>
      <c r="J47" s="544"/>
      <c r="K47" s="544"/>
      <c r="L47" s="544"/>
      <c r="M47" s="544"/>
      <c r="N47" s="544"/>
      <c r="O47" s="544"/>
      <c r="P47" s="544"/>
      <c r="Q47" s="544"/>
      <c r="R47" s="544"/>
      <c r="S47" s="544"/>
      <c r="T47" s="544"/>
      <c r="U47" s="544"/>
      <c r="W47" s="544"/>
      <c r="X47" s="544"/>
      <c r="Y47" s="544"/>
    </row>
    <row r="48" spans="1:25">
      <c r="B48" s="544"/>
      <c r="C48" s="544"/>
      <c r="D48" s="544"/>
      <c r="E48" s="544"/>
      <c r="F48" s="544"/>
      <c r="G48" s="544"/>
      <c r="H48" s="544"/>
      <c r="I48" s="544"/>
      <c r="J48" s="544"/>
      <c r="K48" s="544"/>
      <c r="L48" s="544"/>
      <c r="M48" s="544"/>
      <c r="N48" s="544"/>
      <c r="O48" s="544"/>
      <c r="P48" s="544"/>
      <c r="Q48" s="544"/>
      <c r="R48" s="544"/>
      <c r="S48" s="544"/>
      <c r="T48" s="544"/>
      <c r="U48" s="544"/>
      <c r="W48" s="544"/>
      <c r="X48" s="544"/>
      <c r="Y48" s="544"/>
    </row>
    <row r="49" spans="2:25">
      <c r="B49" s="544"/>
      <c r="C49" s="544"/>
      <c r="D49" s="544"/>
      <c r="E49" s="544"/>
      <c r="F49" s="544"/>
      <c r="G49" s="544"/>
      <c r="H49" s="544"/>
      <c r="I49" s="544"/>
      <c r="J49" s="544"/>
      <c r="K49" s="544"/>
      <c r="L49" s="544"/>
      <c r="M49" s="544"/>
      <c r="N49" s="544"/>
      <c r="O49" s="544"/>
      <c r="P49" s="544"/>
      <c r="Q49" s="544"/>
      <c r="R49" s="544"/>
      <c r="S49" s="544"/>
      <c r="T49" s="544"/>
      <c r="U49" s="544"/>
      <c r="W49" s="544"/>
      <c r="X49" s="544"/>
      <c r="Y49" s="544"/>
    </row>
    <row r="50" spans="2:25">
      <c r="E50" s="543"/>
      <c r="F50" s="544"/>
      <c r="G50" s="544"/>
      <c r="H50" s="544"/>
      <c r="I50" s="544"/>
      <c r="J50" s="544"/>
      <c r="K50" s="544"/>
      <c r="L50" s="544"/>
      <c r="M50" s="544"/>
      <c r="N50" s="544"/>
      <c r="O50" s="544"/>
      <c r="P50" s="544"/>
      <c r="Q50" s="544"/>
      <c r="R50" s="544"/>
      <c r="S50" s="544"/>
      <c r="T50" s="544"/>
      <c r="U50" s="544"/>
      <c r="W50" s="544"/>
      <c r="X50" s="544"/>
      <c r="Y50" s="544"/>
    </row>
    <row r="51" spans="2:25">
      <c r="E51" s="543"/>
      <c r="F51" s="544"/>
      <c r="G51" s="544"/>
      <c r="H51" s="544"/>
      <c r="I51" s="544"/>
      <c r="J51" s="544"/>
      <c r="K51" s="544"/>
      <c r="L51" s="544"/>
      <c r="M51" s="544"/>
      <c r="N51" s="544"/>
      <c r="O51" s="544"/>
      <c r="P51" s="544"/>
      <c r="Q51" s="544"/>
      <c r="R51" s="544"/>
      <c r="S51" s="544"/>
      <c r="T51" s="544"/>
      <c r="U51" s="544"/>
      <c r="W51" s="544"/>
      <c r="X51" s="544"/>
      <c r="Y51" s="544"/>
    </row>
    <row r="52" spans="2:25">
      <c r="I52" s="543"/>
      <c r="J52" s="544"/>
      <c r="K52" s="544"/>
      <c r="L52" s="544"/>
      <c r="M52" s="544"/>
      <c r="N52" s="544"/>
      <c r="O52" s="544"/>
      <c r="P52" s="544"/>
      <c r="Q52" s="544"/>
      <c r="R52" s="544"/>
      <c r="S52" s="544"/>
      <c r="T52" s="544"/>
      <c r="U52" s="544"/>
      <c r="W52" s="544"/>
      <c r="X52" s="544"/>
      <c r="Y52" s="544"/>
    </row>
    <row r="53" spans="2:25">
      <c r="I53" s="543"/>
      <c r="J53" s="544"/>
      <c r="K53" s="544"/>
      <c r="L53" s="544"/>
      <c r="M53" s="544"/>
      <c r="N53" s="544"/>
      <c r="O53" s="544"/>
      <c r="P53" s="544"/>
      <c r="Q53" s="544"/>
      <c r="R53" s="544"/>
      <c r="S53" s="544"/>
      <c r="T53" s="544"/>
      <c r="U53" s="544"/>
      <c r="W53" s="544"/>
      <c r="X53" s="544"/>
      <c r="Y53" s="544"/>
    </row>
    <row r="54" spans="2:25">
      <c r="I54" s="543"/>
      <c r="J54" s="544"/>
      <c r="K54" s="544"/>
      <c r="L54" s="544"/>
      <c r="M54" s="544"/>
      <c r="N54" s="544"/>
      <c r="O54" s="544"/>
      <c r="P54" s="544"/>
      <c r="Q54" s="544"/>
      <c r="R54" s="544"/>
      <c r="S54" s="544"/>
      <c r="T54" s="544"/>
      <c r="U54" s="544"/>
      <c r="W54" s="544"/>
      <c r="X54" s="544"/>
      <c r="Y54" s="544"/>
    </row>
    <row r="55" spans="2:25">
      <c r="I55" s="543"/>
      <c r="J55" s="544"/>
      <c r="K55" s="544"/>
      <c r="L55" s="544"/>
      <c r="M55" s="544"/>
      <c r="N55" s="544"/>
      <c r="O55" s="544"/>
      <c r="P55" s="544"/>
      <c r="Q55" s="544"/>
      <c r="R55" s="544"/>
      <c r="S55" s="544"/>
      <c r="T55" s="544"/>
      <c r="U55" s="544"/>
      <c r="W55" s="544"/>
      <c r="X55" s="544"/>
      <c r="Y55" s="544"/>
    </row>
    <row r="56" spans="2:25">
      <c r="I56" s="543"/>
      <c r="J56" s="544"/>
      <c r="K56" s="544"/>
      <c r="L56" s="544"/>
      <c r="M56" s="544"/>
      <c r="N56" s="544"/>
      <c r="O56" s="544"/>
      <c r="P56" s="544"/>
      <c r="Q56" s="544"/>
      <c r="R56" s="544"/>
      <c r="S56" s="544"/>
      <c r="T56" s="544"/>
      <c r="U56" s="544"/>
      <c r="W56" s="544"/>
      <c r="X56" s="544"/>
      <c r="Y56" s="544"/>
    </row>
    <row r="57" spans="2:25">
      <c r="I57" s="543"/>
      <c r="J57" s="544"/>
      <c r="K57" s="544"/>
      <c r="L57" s="544"/>
      <c r="M57" s="544"/>
      <c r="N57" s="544"/>
      <c r="O57" s="544"/>
      <c r="P57" s="544"/>
      <c r="Q57" s="544"/>
      <c r="R57" s="544"/>
      <c r="S57" s="544"/>
      <c r="T57" s="544"/>
      <c r="U57" s="544"/>
      <c r="W57" s="544"/>
      <c r="X57" s="544"/>
      <c r="Y57" s="544"/>
    </row>
    <row r="58" spans="2:25">
      <c r="I58" s="543"/>
      <c r="J58" s="544"/>
      <c r="K58" s="544"/>
      <c r="L58" s="544"/>
      <c r="M58" s="544"/>
      <c r="N58" s="544"/>
      <c r="O58" s="544"/>
      <c r="P58" s="544"/>
      <c r="Q58" s="544"/>
      <c r="R58" s="544"/>
      <c r="S58" s="544"/>
      <c r="T58" s="544"/>
      <c r="U58" s="544"/>
      <c r="W58" s="544"/>
      <c r="X58" s="544"/>
      <c r="Y58" s="544"/>
    </row>
    <row r="59" spans="2:25">
      <c r="I59" s="543"/>
      <c r="J59" s="544"/>
      <c r="K59" s="544"/>
      <c r="L59" s="544"/>
      <c r="M59" s="544"/>
      <c r="N59" s="544"/>
      <c r="O59" s="544"/>
      <c r="P59" s="544"/>
      <c r="Q59" s="544"/>
      <c r="R59" s="544"/>
      <c r="S59" s="544"/>
      <c r="T59" s="544"/>
      <c r="U59" s="544"/>
      <c r="W59" s="544"/>
      <c r="X59" s="544"/>
      <c r="Y59" s="544"/>
    </row>
    <row r="60" spans="2:25">
      <c r="I60" s="543"/>
      <c r="J60" s="544"/>
      <c r="K60" s="544"/>
      <c r="L60" s="544"/>
      <c r="M60" s="544"/>
      <c r="N60" s="544"/>
      <c r="O60" s="544"/>
      <c r="P60" s="544"/>
      <c r="Q60" s="544"/>
      <c r="R60" s="544"/>
      <c r="S60" s="544"/>
      <c r="T60" s="544"/>
      <c r="U60" s="544"/>
      <c r="W60" s="544"/>
      <c r="X60" s="544"/>
      <c r="Y60" s="544"/>
    </row>
    <row r="61" spans="2:25">
      <c r="J61" s="544"/>
      <c r="K61" s="544"/>
      <c r="L61" s="544"/>
      <c r="M61" s="544"/>
      <c r="N61" s="544"/>
      <c r="O61" s="544"/>
      <c r="P61" s="544"/>
      <c r="Q61" s="544"/>
      <c r="R61" s="544"/>
      <c r="S61" s="544"/>
      <c r="T61" s="544"/>
      <c r="U61" s="544"/>
      <c r="W61" s="544"/>
      <c r="X61" s="544"/>
      <c r="Y61" s="544"/>
    </row>
    <row r="62" spans="2:25">
      <c r="J62" s="544"/>
      <c r="K62" s="544"/>
      <c r="L62" s="544"/>
      <c r="M62" s="544"/>
      <c r="N62" s="544"/>
      <c r="O62" s="544"/>
      <c r="P62" s="544"/>
      <c r="Q62" s="544"/>
      <c r="R62" s="544"/>
      <c r="S62" s="544"/>
      <c r="T62" s="544"/>
      <c r="U62" s="544"/>
      <c r="W62" s="544"/>
      <c r="X62" s="544"/>
      <c r="Y62" s="544"/>
    </row>
    <row r="63" spans="2:25">
      <c r="M63" s="543"/>
      <c r="N63" s="544"/>
      <c r="O63" s="544"/>
      <c r="P63" s="544"/>
      <c r="Q63" s="544"/>
      <c r="R63" s="544"/>
      <c r="S63" s="544"/>
      <c r="T63" s="544"/>
      <c r="U63" s="544"/>
      <c r="W63" s="544"/>
      <c r="X63" s="544"/>
      <c r="Y63" s="544"/>
    </row>
    <row r="64" spans="2:25">
      <c r="M64" s="543"/>
      <c r="Q64" s="543"/>
      <c r="R64" s="544"/>
      <c r="S64" s="544"/>
      <c r="T64" s="544"/>
      <c r="U64" s="544"/>
      <c r="W64" s="544"/>
      <c r="X64" s="544"/>
      <c r="Y64" s="544"/>
    </row>
    <row r="65" spans="17:25">
      <c r="Q65" s="543"/>
      <c r="R65" s="544"/>
      <c r="S65" s="544"/>
      <c r="T65" s="544"/>
      <c r="U65" s="544"/>
      <c r="W65" s="544"/>
      <c r="X65" s="544"/>
      <c r="Y65" s="544"/>
    </row>
    <row r="66" spans="17:25">
      <c r="Q66" s="543"/>
      <c r="R66" s="544"/>
      <c r="S66" s="544"/>
      <c r="T66" s="544"/>
      <c r="U66" s="544"/>
      <c r="W66" s="544"/>
      <c r="X66" s="544"/>
      <c r="Y66" s="544"/>
    </row>
    <row r="67" spans="17:25">
      <c r="R67" s="544"/>
      <c r="S67" s="544"/>
      <c r="T67" s="544"/>
      <c r="U67" s="544"/>
      <c r="W67" s="544"/>
      <c r="X67" s="544"/>
      <c r="Y67" s="544"/>
    </row>
    <row r="68" spans="17:25">
      <c r="R68" s="544"/>
      <c r="S68" s="544"/>
      <c r="T68" s="544"/>
      <c r="U68" s="544"/>
      <c r="W68" s="544"/>
      <c r="X68" s="544"/>
      <c r="Y68" s="544"/>
    </row>
    <row r="69" spans="17:25">
      <c r="R69" s="544"/>
      <c r="S69" s="544"/>
      <c r="T69" s="544"/>
      <c r="U69" s="544"/>
      <c r="W69" s="544"/>
      <c r="X69" s="544"/>
      <c r="Y69" s="544"/>
    </row>
    <row r="70" spans="17:25">
      <c r="R70" s="544"/>
      <c r="S70" s="544"/>
      <c r="T70" s="544"/>
      <c r="U70" s="544"/>
      <c r="W70" s="544"/>
      <c r="X70" s="544"/>
      <c r="Y70" s="544"/>
    </row>
    <row r="71" spans="17:25">
      <c r="R71" s="544"/>
      <c r="S71" s="544"/>
      <c r="T71" s="544"/>
      <c r="U71" s="544"/>
      <c r="W71" s="544"/>
      <c r="X71" s="544"/>
      <c r="Y71" s="544"/>
    </row>
    <row r="72" spans="17:25">
      <c r="U72" s="543"/>
    </row>
    <row r="73" spans="17:25">
      <c r="U73" s="543"/>
    </row>
  </sheetData>
  <mergeCells count="10">
    <mergeCell ref="A1:Y1"/>
    <mergeCell ref="V2:Y2"/>
    <mergeCell ref="V3:Y3"/>
    <mergeCell ref="R3:U3"/>
    <mergeCell ref="R2:U2"/>
    <mergeCell ref="B3:E3"/>
    <mergeCell ref="F3:I3"/>
    <mergeCell ref="J3:M3"/>
    <mergeCell ref="N3:Q3"/>
    <mergeCell ref="B2:Q2"/>
  </mergeCells>
  <phoneticPr fontId="0" type="noConversion"/>
  <printOptions horizontalCentered="1"/>
  <pageMargins left="0.75" right="0.75" top="1" bottom="1" header="0.5" footer="0.5"/>
  <pageSetup scale="44" orientation="portrait" r:id="rId1"/>
  <headerFooter alignWithMargins="0">
    <oddFooter>&amp;L&amp;F
&amp;A&amp;R&amp;P of &amp;N</oddFooter>
  </headerFooter>
  <colBreaks count="1" manualBreakCount="1">
    <brk id="13" max="40" man="1"/>
  </colBreaks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200-000000000000}">
  <sheetPr codeName="Sheet66"/>
  <dimension ref="A1:AN65"/>
  <sheetViews>
    <sheetView zoomScale="75" zoomScaleNormal="75" workbookViewId="0">
      <selection activeCell="E3" sqref="E3"/>
    </sheetView>
  </sheetViews>
  <sheetFormatPr defaultRowHeight="12.75"/>
  <cols>
    <col min="1" max="1" width="27" bestFit="1" customWidth="1"/>
    <col min="2" max="2" width="13.28515625" bestFit="1" customWidth="1"/>
    <col min="3" max="3" width="9.28515625" bestFit="1" customWidth="1"/>
    <col min="4" max="5" width="6.5703125" bestFit="1" customWidth="1"/>
    <col min="6" max="6" width="8.140625" bestFit="1" customWidth="1"/>
    <col min="7" max="7" width="10.42578125" bestFit="1" customWidth="1"/>
    <col min="8" max="8" width="10.42578125" customWidth="1"/>
    <col min="9" max="9" width="10.28515625" bestFit="1" customWidth="1"/>
    <col min="10" max="10" width="10" bestFit="1" customWidth="1"/>
    <col min="11" max="11" width="12.7109375" bestFit="1" customWidth="1"/>
    <col min="12" max="12" width="13.7109375" bestFit="1" customWidth="1"/>
    <col min="13" max="14" width="11.140625" customWidth="1"/>
    <col min="15" max="15" width="9.28515625" bestFit="1" customWidth="1"/>
    <col min="16" max="16" width="8.85546875" bestFit="1" customWidth="1"/>
    <col min="17" max="17" width="7" bestFit="1" customWidth="1"/>
    <col min="18" max="18" width="11.5703125" bestFit="1" customWidth="1"/>
    <col min="19" max="19" width="11.7109375" customWidth="1"/>
    <col min="21" max="21" width="15.5703125" bestFit="1" customWidth="1"/>
    <col min="22" max="22" width="11.7109375" customWidth="1"/>
    <col min="25" max="25" width="15.5703125" bestFit="1" customWidth="1"/>
    <col min="26" max="26" width="11.140625" customWidth="1"/>
    <col min="27" max="27" width="10.5703125" bestFit="1" customWidth="1"/>
    <col min="28" max="28" width="13.140625" bestFit="1" customWidth="1"/>
    <col min="29" max="29" width="9.42578125" customWidth="1"/>
    <col min="30" max="32" width="12.28515625" customWidth="1"/>
    <col min="33" max="33" width="10.28515625" bestFit="1" customWidth="1"/>
    <col min="34" max="34" width="13.7109375" bestFit="1" customWidth="1"/>
    <col min="36" max="36" width="13.140625" bestFit="1" customWidth="1"/>
    <col min="39" max="39" width="10.28515625" bestFit="1" customWidth="1"/>
  </cols>
  <sheetData>
    <row r="1" spans="1:40" ht="18.75" thickBot="1">
      <c r="A1" s="841" t="s">
        <v>447</v>
      </c>
      <c r="B1" s="841"/>
      <c r="C1" s="841"/>
      <c r="D1" s="841"/>
      <c r="E1" s="841"/>
      <c r="F1" s="841"/>
      <c r="G1" s="841"/>
      <c r="H1" s="841"/>
      <c r="I1" s="841"/>
      <c r="J1" s="841"/>
      <c r="K1" s="841"/>
      <c r="L1" s="841"/>
      <c r="M1" s="841"/>
      <c r="N1" s="841"/>
      <c r="O1" s="841"/>
      <c r="P1" s="841"/>
      <c r="Q1" s="841"/>
      <c r="R1" s="841"/>
      <c r="S1" s="841"/>
      <c r="T1" s="841"/>
      <c r="U1" s="841"/>
      <c r="V1" s="841"/>
      <c r="W1" s="841"/>
      <c r="X1" s="841"/>
      <c r="Y1" s="841"/>
      <c r="Z1" s="841"/>
      <c r="AA1" s="841"/>
      <c r="AB1" s="841"/>
      <c r="AC1" s="841"/>
      <c r="AD1" s="841"/>
      <c r="AE1" s="841"/>
      <c r="AF1" s="841"/>
      <c r="AG1" s="841"/>
      <c r="AH1" s="841"/>
    </row>
    <row r="2" spans="1:40" ht="13.5" thickBot="1">
      <c r="A2" s="206"/>
      <c r="B2" s="119" t="s">
        <v>66</v>
      </c>
      <c r="C2" s="120"/>
      <c r="D2" s="120"/>
      <c r="E2" s="120"/>
      <c r="F2" s="120"/>
      <c r="G2" s="120"/>
      <c r="H2" s="120"/>
      <c r="I2" s="120"/>
      <c r="J2" s="120"/>
      <c r="K2" s="120"/>
      <c r="L2" s="121"/>
      <c r="M2" s="120"/>
      <c r="N2" s="120"/>
      <c r="O2" s="120"/>
      <c r="P2" s="120"/>
      <c r="Q2" s="120"/>
      <c r="R2" s="121"/>
      <c r="S2" s="119"/>
      <c r="T2" s="120"/>
      <c r="U2" s="121"/>
      <c r="V2" s="120"/>
      <c r="W2" s="120"/>
      <c r="X2" s="120"/>
      <c r="Y2" s="120"/>
      <c r="Z2" s="120"/>
      <c r="AA2" s="121"/>
      <c r="AB2" s="856" t="s">
        <v>67</v>
      </c>
      <c r="AC2" s="857"/>
      <c r="AD2" s="857"/>
      <c r="AE2" s="857"/>
      <c r="AF2" s="858"/>
      <c r="AG2" s="208" t="s">
        <v>62</v>
      </c>
      <c r="AH2" s="104"/>
      <c r="AJ2" s="853" t="s">
        <v>484</v>
      </c>
      <c r="AK2" s="854"/>
      <c r="AL2" s="854"/>
      <c r="AM2" s="854"/>
      <c r="AN2" s="855"/>
    </row>
    <row r="3" spans="1:40" ht="13.5" thickBot="1">
      <c r="A3" s="205"/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856" t="s">
        <v>425</v>
      </c>
      <c r="N3" s="858"/>
      <c r="O3" s="103"/>
      <c r="P3" s="103"/>
      <c r="Q3" s="103"/>
      <c r="R3" s="103"/>
      <c r="S3" s="119" t="s">
        <v>81</v>
      </c>
      <c r="T3" s="120"/>
      <c r="U3" s="121"/>
      <c r="V3" s="119" t="s">
        <v>107</v>
      </c>
      <c r="W3" s="121"/>
      <c r="X3" s="856" t="s">
        <v>55</v>
      </c>
      <c r="Y3" s="858"/>
      <c r="Z3" s="164"/>
      <c r="AA3" s="103"/>
      <c r="AB3" s="119" t="s">
        <v>82</v>
      </c>
      <c r="AC3" s="121"/>
      <c r="AD3" s="856" t="s">
        <v>405</v>
      </c>
      <c r="AE3" s="858"/>
      <c r="AF3" s="104"/>
      <c r="AG3" s="90"/>
      <c r="AH3" s="91"/>
      <c r="AJ3" s="850" t="s">
        <v>485</v>
      </c>
      <c r="AK3" s="851"/>
      <c r="AL3" s="852"/>
      <c r="AM3" s="90" t="s">
        <v>62</v>
      </c>
      <c r="AN3" s="90" t="s">
        <v>484</v>
      </c>
    </row>
    <row r="4" spans="1:40" ht="13.5" thickBot="1">
      <c r="A4" s="2" t="s">
        <v>4</v>
      </c>
      <c r="B4" s="59" t="s">
        <v>28</v>
      </c>
      <c r="C4" s="59" t="s">
        <v>29</v>
      </c>
      <c r="D4" s="59" t="s">
        <v>30</v>
      </c>
      <c r="E4" s="59" t="s">
        <v>31</v>
      </c>
      <c r="F4" s="59" t="s">
        <v>75</v>
      </c>
      <c r="G4" s="59" t="s">
        <v>73</v>
      </c>
      <c r="H4" s="59" t="s">
        <v>392</v>
      </c>
      <c r="I4" s="59" t="s">
        <v>74</v>
      </c>
      <c r="J4" s="59" t="s">
        <v>105</v>
      </c>
      <c r="K4" s="59" t="s">
        <v>104</v>
      </c>
      <c r="L4" s="59" t="s">
        <v>2</v>
      </c>
      <c r="M4" s="668" t="s">
        <v>0</v>
      </c>
      <c r="N4" s="670" t="s">
        <v>1</v>
      </c>
      <c r="O4" s="59" t="s">
        <v>76</v>
      </c>
      <c r="P4" s="59" t="s">
        <v>77</v>
      </c>
      <c r="Q4" s="59" t="s">
        <v>80</v>
      </c>
      <c r="R4" s="59" t="s">
        <v>2</v>
      </c>
      <c r="S4" s="2" t="s">
        <v>0</v>
      </c>
      <c r="T4" s="3" t="s">
        <v>1</v>
      </c>
      <c r="U4" s="4" t="s">
        <v>99</v>
      </c>
      <c r="V4" s="2" t="s">
        <v>0</v>
      </c>
      <c r="W4" s="4" t="s">
        <v>1</v>
      </c>
      <c r="X4" s="384" t="s">
        <v>1</v>
      </c>
      <c r="Y4" s="386" t="s">
        <v>99</v>
      </c>
      <c r="Z4" s="59" t="s">
        <v>159</v>
      </c>
      <c r="AA4" s="59" t="s">
        <v>2</v>
      </c>
      <c r="AB4" s="2" t="s">
        <v>0</v>
      </c>
      <c r="AC4" s="4" t="s">
        <v>1</v>
      </c>
      <c r="AD4" s="652" t="s">
        <v>0</v>
      </c>
      <c r="AE4" s="654" t="s">
        <v>1</v>
      </c>
      <c r="AF4" s="59" t="s">
        <v>2</v>
      </c>
      <c r="AG4" s="59" t="s">
        <v>2</v>
      </c>
      <c r="AH4" s="59" t="s">
        <v>2</v>
      </c>
      <c r="AJ4" s="783" t="s">
        <v>0</v>
      </c>
      <c r="AK4" s="784" t="s">
        <v>1</v>
      </c>
      <c r="AL4" s="59" t="s">
        <v>2</v>
      </c>
      <c r="AM4" s="59" t="s">
        <v>2</v>
      </c>
      <c r="AN4" s="59" t="s">
        <v>2</v>
      </c>
    </row>
    <row r="5" spans="1:40">
      <c r="A5" s="5"/>
      <c r="B5" s="5"/>
      <c r="C5" s="6"/>
      <c r="D5" s="6"/>
      <c r="E5" s="8"/>
      <c r="F5" s="8"/>
      <c r="G5" s="6"/>
      <c r="H5" s="6"/>
      <c r="I5" s="6"/>
      <c r="J5" s="8"/>
      <c r="K5" s="8"/>
      <c r="L5" s="7"/>
      <c r="M5" s="8"/>
      <c r="N5" s="8"/>
      <c r="O5" s="8"/>
      <c r="P5" s="8"/>
      <c r="Q5" s="8"/>
      <c r="R5" s="7"/>
      <c r="S5" s="8"/>
      <c r="T5" s="8"/>
      <c r="U5" s="8"/>
      <c r="V5" s="6"/>
      <c r="W5" s="6"/>
      <c r="X5" s="6"/>
      <c r="Y5" s="6"/>
      <c r="Z5" s="60"/>
      <c r="AA5" s="7"/>
      <c r="AB5" s="5"/>
      <c r="AC5" s="6"/>
      <c r="AD5" s="6"/>
      <c r="AE5" s="6"/>
      <c r="AF5" s="7"/>
      <c r="AG5" s="133"/>
      <c r="AH5" s="133"/>
      <c r="AJ5" s="5"/>
      <c r="AK5" s="6"/>
      <c r="AL5" s="7"/>
      <c r="AM5" s="133"/>
      <c r="AN5" s="133"/>
    </row>
    <row r="6" spans="1:40">
      <c r="A6" s="10"/>
      <c r="B6" s="10"/>
      <c r="C6" s="31"/>
      <c r="D6" s="31"/>
      <c r="E6" s="31"/>
      <c r="F6" s="31"/>
      <c r="G6" s="31"/>
      <c r="H6" s="31"/>
      <c r="I6" s="31"/>
      <c r="J6" s="31"/>
      <c r="K6" s="31"/>
      <c r="L6" s="107"/>
      <c r="M6" s="31"/>
      <c r="N6" s="31"/>
      <c r="O6" s="31"/>
      <c r="P6" s="31"/>
      <c r="Q6" s="31"/>
      <c r="R6" s="107"/>
      <c r="S6" s="31"/>
      <c r="T6" s="8"/>
      <c r="U6" s="8"/>
      <c r="V6" s="31"/>
      <c r="W6" s="8"/>
      <c r="X6" s="8"/>
      <c r="Y6" s="8"/>
      <c r="Z6" s="8"/>
      <c r="AA6" s="9"/>
      <c r="AB6" s="10"/>
      <c r="AC6" s="8"/>
      <c r="AD6" s="8"/>
      <c r="AE6" s="8"/>
      <c r="AF6" s="9"/>
      <c r="AG6" s="134"/>
      <c r="AH6" s="134"/>
      <c r="AJ6" s="132"/>
      <c r="AK6" s="8"/>
      <c r="AL6" s="9"/>
      <c r="AM6" s="134"/>
      <c r="AN6" s="134"/>
    </row>
    <row r="7" spans="1:40">
      <c r="A7" s="21" t="s">
        <v>5</v>
      </c>
      <c r="B7" s="137">
        <f>'Resid Cust Fcst '!H8</f>
        <v>355728</v>
      </c>
      <c r="C7" s="23">
        <f>'Resid Cust Fcst '!O8</f>
        <v>2145</v>
      </c>
      <c r="D7" s="23">
        <f>'Resid Cust Fcst '!V8</f>
        <v>18</v>
      </c>
      <c r="E7" s="23">
        <f>'Resid Cust Fcst '!AC8</f>
        <v>1</v>
      </c>
      <c r="F7" s="23">
        <f>'Resid Cust Fcst '!AJ8</f>
        <v>1</v>
      </c>
      <c r="G7" s="23">
        <f>'Resid Cust Fcst '!AQ8</f>
        <v>151</v>
      </c>
      <c r="H7" s="23">
        <f>'Resid Cust Fcst '!AX8</f>
        <v>707</v>
      </c>
      <c r="I7" s="23">
        <f>'Resid Cust Fcst '!BE8</f>
        <v>33</v>
      </c>
      <c r="J7" s="23">
        <f>'Resid Cust Fcst '!BL8</f>
        <v>44</v>
      </c>
      <c r="K7" s="23">
        <f>'Resid Cust Fcst '!BS8</f>
        <v>176</v>
      </c>
      <c r="L7" s="45">
        <f t="shared" ref="L7:L37" si="0">SUM(B7:K7)</f>
        <v>359004</v>
      </c>
      <c r="M7" s="23">
        <f>'Sm Comm Cust Fcst'!F8</f>
        <v>32881</v>
      </c>
      <c r="N7" s="23">
        <f>'Sm Comm Cust Fcst'!G8</f>
        <v>5</v>
      </c>
      <c r="O7" s="23">
        <f>'Sm Comm Cust Fcst'!M8</f>
        <v>6184</v>
      </c>
      <c r="P7" s="23">
        <f>'Sm Comm Cust Fcst'!T8</f>
        <v>2</v>
      </c>
      <c r="Q7" s="23">
        <f>'Sm Comm Cust Fcst'!AA8</f>
        <v>3</v>
      </c>
      <c r="R7" s="45">
        <f t="shared" ref="R7:R37" si="1">SUM(M7:Q7)</f>
        <v>39075</v>
      </c>
      <c r="S7" s="23">
        <f>'Sch AL-TOU Cust Fcst'!F6</f>
        <v>79</v>
      </c>
      <c r="T7" s="23">
        <f>'Sch AL-TOU Cust Fcst'!G6</f>
        <v>3</v>
      </c>
      <c r="U7" s="23">
        <f>'Sch AL-TOU Cust Fcst'!H6</f>
        <v>0</v>
      </c>
      <c r="V7" s="23">
        <f>'Sch DG-R Cust Fcst'!F6</f>
        <v>0</v>
      </c>
      <c r="W7" s="23">
        <f>'Sch DG-R Cust Fcst'!G6</f>
        <v>0</v>
      </c>
      <c r="X7" s="23">
        <f>'Sch A6-TOU Cust Fcst '!B6</f>
        <v>0</v>
      </c>
      <c r="Y7" s="23">
        <f>'Sch A6-TOU Cust Fcst '!C6</f>
        <v>0</v>
      </c>
      <c r="Z7" s="23">
        <f>'Sch OL-TOU Cust Fcst'!F6</f>
        <v>1</v>
      </c>
      <c r="AA7" s="45">
        <f t="shared" ref="AA7:AA37" si="2">SUM(S7:Z7)</f>
        <v>83</v>
      </c>
      <c r="AB7" s="137">
        <f>'Sch PA-T-1 Cust Fcst'!F6</f>
        <v>17</v>
      </c>
      <c r="AC7" s="23">
        <f>'Sch PA-T-1 Cust Fcst'!G6</f>
        <v>1</v>
      </c>
      <c r="AD7" s="23">
        <f>'Sch TOU-PA Cust Fcst'!F6</f>
        <v>995</v>
      </c>
      <c r="AE7" s="23">
        <f>'Sch TOU-PA Cust Fcst'!G6</f>
        <v>0</v>
      </c>
      <c r="AF7" s="45">
        <f t="shared" ref="AF7:AF37" si="3">SUM(AB7:AE7)</f>
        <v>1013</v>
      </c>
      <c r="AG7" s="165">
        <f>'Street Light Cust Cost Summary'!B30</f>
        <v>5281</v>
      </c>
      <c r="AH7" s="165">
        <f t="shared" ref="AH7:AH37" si="4">L7+R7+AA7+AF7+AG7</f>
        <v>404456</v>
      </c>
      <c r="AJ7" s="137">
        <v>98</v>
      </c>
      <c r="AK7" s="23">
        <v>0</v>
      </c>
      <c r="AL7" s="45">
        <f t="shared" ref="AL7:AL37" si="5">SUM(AJ7:AK7)</f>
        <v>98</v>
      </c>
      <c r="AM7" s="165">
        <v>103</v>
      </c>
      <c r="AN7" s="165">
        <f>AL7+AM7</f>
        <v>201</v>
      </c>
    </row>
    <row r="8" spans="1:40">
      <c r="A8" s="20" t="s">
        <v>6</v>
      </c>
      <c r="B8" s="137">
        <f>'Resid Cust Fcst '!H9</f>
        <v>630260</v>
      </c>
      <c r="C8" s="23">
        <f>'Resid Cust Fcst '!O9</f>
        <v>916</v>
      </c>
      <c r="D8" s="23">
        <f>'Resid Cust Fcst '!V9</f>
        <v>78</v>
      </c>
      <c r="E8" s="23">
        <f>'Resid Cust Fcst '!AC9</f>
        <v>6</v>
      </c>
      <c r="F8" s="23">
        <f>'Resid Cust Fcst '!AJ9</f>
        <v>1</v>
      </c>
      <c r="G8" s="23">
        <f>'Resid Cust Fcst '!AQ9</f>
        <v>339</v>
      </c>
      <c r="H8" s="23">
        <f>'Resid Cust Fcst '!AX9</f>
        <v>2287</v>
      </c>
      <c r="I8" s="23">
        <f>'Resid Cust Fcst '!BE9</f>
        <v>849</v>
      </c>
      <c r="J8" s="23">
        <f>'Resid Cust Fcst '!BL9</f>
        <v>223</v>
      </c>
      <c r="K8" s="23">
        <f>'Resid Cust Fcst '!BS9</f>
        <v>2427</v>
      </c>
      <c r="L8" s="45">
        <f t="shared" si="0"/>
        <v>637386</v>
      </c>
      <c r="M8" s="23">
        <f>'Sm Comm Cust Fcst'!F9</f>
        <v>17621</v>
      </c>
      <c r="N8" s="23">
        <f>'Sm Comm Cust Fcst'!G9</f>
        <v>1</v>
      </c>
      <c r="O8" s="23">
        <f>'Sm Comm Cust Fcst'!M9</f>
        <v>631</v>
      </c>
      <c r="P8" s="23">
        <f>'Sm Comm Cust Fcst'!T9</f>
        <v>1</v>
      </c>
      <c r="Q8" s="23">
        <f>'Sm Comm Cust Fcst'!AA9</f>
        <v>11</v>
      </c>
      <c r="R8" s="45">
        <f t="shared" si="1"/>
        <v>18265</v>
      </c>
      <c r="S8" s="23">
        <f>'Sch AL-TOU Cust Fcst'!F7</f>
        <v>185</v>
      </c>
      <c r="T8" s="23">
        <f>'Sch AL-TOU Cust Fcst'!G7</f>
        <v>2</v>
      </c>
      <c r="U8" s="23">
        <f>'Sch AL-TOU Cust Fcst'!H7</f>
        <v>0</v>
      </c>
      <c r="V8" s="23">
        <f>'Sch DG-R Cust Fcst'!F7</f>
        <v>0</v>
      </c>
      <c r="W8" s="23">
        <f>'Sch DG-R Cust Fcst'!G7</f>
        <v>0</v>
      </c>
      <c r="X8" s="23">
        <f>'Sch A6-TOU Cust Fcst '!B7</f>
        <v>0</v>
      </c>
      <c r="Y8" s="23">
        <f>'Sch A6-TOU Cust Fcst '!C7</f>
        <v>0</v>
      </c>
      <c r="Z8" s="23">
        <f>'Sch OL-TOU Cust Fcst'!F7</f>
        <v>0</v>
      </c>
      <c r="AA8" s="45">
        <f t="shared" si="2"/>
        <v>187</v>
      </c>
      <c r="AB8" s="137">
        <f>'Sch PA-T-1 Cust Fcst'!F7</f>
        <v>8</v>
      </c>
      <c r="AC8" s="23">
        <f>'Sch PA-T-1 Cust Fcst'!G7</f>
        <v>0</v>
      </c>
      <c r="AD8" s="23">
        <f>'Sch TOU-PA Cust Fcst'!F7</f>
        <v>837</v>
      </c>
      <c r="AE8" s="23">
        <f>'Sch TOU-PA Cust Fcst'!G7</f>
        <v>0</v>
      </c>
      <c r="AF8" s="45">
        <f t="shared" si="3"/>
        <v>845</v>
      </c>
      <c r="AG8" s="165"/>
      <c r="AH8" s="165">
        <f t="shared" si="4"/>
        <v>656683</v>
      </c>
      <c r="AJ8" s="137">
        <v>69</v>
      </c>
      <c r="AK8" s="23">
        <v>1</v>
      </c>
      <c r="AL8" s="45">
        <f t="shared" si="5"/>
        <v>70</v>
      </c>
      <c r="AM8" s="165"/>
      <c r="AN8" s="165">
        <f t="shared" ref="AN8:AN37" si="6">AL8+AM8</f>
        <v>70</v>
      </c>
    </row>
    <row r="9" spans="1:40">
      <c r="A9" s="22" t="s">
        <v>7</v>
      </c>
      <c r="B9" s="137">
        <f>'Resid Cust Fcst '!H10</f>
        <v>230084</v>
      </c>
      <c r="C9" s="23">
        <f>'Resid Cust Fcst '!O10</f>
        <v>328</v>
      </c>
      <c r="D9" s="23">
        <f>'Resid Cust Fcst '!V10</f>
        <v>50</v>
      </c>
      <c r="E9" s="23">
        <f>'Resid Cust Fcst '!AC10</f>
        <v>21</v>
      </c>
      <c r="F9" s="23">
        <f>'Resid Cust Fcst '!AJ10</f>
        <v>0</v>
      </c>
      <c r="G9" s="23">
        <f>'Resid Cust Fcst '!AQ10</f>
        <v>452</v>
      </c>
      <c r="H9" s="23">
        <f>'Resid Cust Fcst '!AX10</f>
        <v>1209</v>
      </c>
      <c r="I9" s="23">
        <f>'Resid Cust Fcst '!BE10</f>
        <v>1973</v>
      </c>
      <c r="J9" s="23">
        <f>'Resid Cust Fcst '!BL10</f>
        <v>28</v>
      </c>
      <c r="K9" s="23">
        <f>'Resid Cust Fcst '!BS10</f>
        <v>3501</v>
      </c>
      <c r="L9" s="45">
        <f t="shared" si="0"/>
        <v>237646</v>
      </c>
      <c r="M9" s="23">
        <f>'Sm Comm Cust Fcst'!F10</f>
        <v>16817</v>
      </c>
      <c r="N9" s="23">
        <f>'Sm Comm Cust Fcst'!G10</f>
        <v>0</v>
      </c>
      <c r="O9" s="23">
        <f>'Sm Comm Cust Fcst'!M10</f>
        <v>105</v>
      </c>
      <c r="P9" s="23">
        <f>'Sm Comm Cust Fcst'!T10</f>
        <v>5</v>
      </c>
      <c r="Q9" s="23">
        <f>'Sm Comm Cust Fcst'!AA10</f>
        <v>8</v>
      </c>
      <c r="R9" s="45">
        <f t="shared" si="1"/>
        <v>16935</v>
      </c>
      <c r="S9" s="23">
        <f>'Sch AL-TOU Cust Fcst'!F8</f>
        <v>429</v>
      </c>
      <c r="T9" s="23">
        <f>'Sch AL-TOU Cust Fcst'!G8</f>
        <v>3</v>
      </c>
      <c r="U9" s="23">
        <f>'Sch AL-TOU Cust Fcst'!H8</f>
        <v>0</v>
      </c>
      <c r="V9" s="23">
        <f>'Sch DG-R Cust Fcst'!F8</f>
        <v>0</v>
      </c>
      <c r="W9" s="23">
        <f>'Sch DG-R Cust Fcst'!G8</f>
        <v>0</v>
      </c>
      <c r="X9" s="23">
        <f>'Sch A6-TOU Cust Fcst '!B8</f>
        <v>0</v>
      </c>
      <c r="Y9" s="23">
        <f>'Sch A6-TOU Cust Fcst '!C8</f>
        <v>0</v>
      </c>
      <c r="Z9" s="23">
        <f>'Sch OL-TOU Cust Fcst'!F8</f>
        <v>0</v>
      </c>
      <c r="AA9" s="45">
        <f t="shared" si="2"/>
        <v>432</v>
      </c>
      <c r="AB9" s="137">
        <f>'Sch PA-T-1 Cust Fcst'!F8</f>
        <v>33</v>
      </c>
      <c r="AC9" s="23">
        <f>'Sch PA-T-1 Cust Fcst'!G8</f>
        <v>0</v>
      </c>
      <c r="AD9" s="23">
        <f>'Sch TOU-PA Cust Fcst'!F8</f>
        <v>646</v>
      </c>
      <c r="AE9" s="23">
        <f>'Sch TOU-PA Cust Fcst'!G8</f>
        <v>0</v>
      </c>
      <c r="AF9" s="45">
        <f t="shared" si="3"/>
        <v>679</v>
      </c>
      <c r="AG9" s="165"/>
      <c r="AH9" s="165">
        <f t="shared" si="4"/>
        <v>255692</v>
      </c>
      <c r="AJ9" s="137">
        <v>104</v>
      </c>
      <c r="AK9" s="23">
        <v>0</v>
      </c>
      <c r="AL9" s="45">
        <f t="shared" si="5"/>
        <v>104</v>
      </c>
      <c r="AM9" s="165"/>
      <c r="AN9" s="165">
        <f t="shared" si="6"/>
        <v>104</v>
      </c>
    </row>
    <row r="10" spans="1:40">
      <c r="A10" s="22" t="s">
        <v>124</v>
      </c>
      <c r="B10" s="137">
        <f>'Resid Cust Fcst '!H11</f>
        <v>34770</v>
      </c>
      <c r="C10" s="23">
        <f>'Resid Cust Fcst '!O11</f>
        <v>145</v>
      </c>
      <c r="D10" s="23">
        <f>'Resid Cust Fcst '!V11</f>
        <v>32</v>
      </c>
      <c r="E10" s="23">
        <f>'Resid Cust Fcst '!AC11</f>
        <v>17</v>
      </c>
      <c r="F10" s="23">
        <f>'Resid Cust Fcst '!AJ11</f>
        <v>4</v>
      </c>
      <c r="G10" s="23">
        <f>'Resid Cust Fcst '!AQ11</f>
        <v>114</v>
      </c>
      <c r="H10" s="23">
        <f>'Resid Cust Fcst '!AX11</f>
        <v>246</v>
      </c>
      <c r="I10" s="23">
        <f>'Resid Cust Fcst '!BE11</f>
        <v>602</v>
      </c>
      <c r="J10" s="23">
        <f>'Resid Cust Fcst '!BL11</f>
        <v>9</v>
      </c>
      <c r="K10" s="23">
        <f>'Resid Cust Fcst '!BS11</f>
        <v>1562</v>
      </c>
      <c r="L10" s="45">
        <f t="shared" si="0"/>
        <v>37501</v>
      </c>
      <c r="M10" s="23">
        <f>'Sm Comm Cust Fcst'!F11</f>
        <v>30866</v>
      </c>
      <c r="N10" s="23">
        <f>'Sm Comm Cust Fcst'!G11</f>
        <v>3</v>
      </c>
      <c r="O10" s="23">
        <f>'Sm Comm Cust Fcst'!M11</f>
        <v>56</v>
      </c>
      <c r="P10" s="23">
        <f>'Sm Comm Cust Fcst'!T11</f>
        <v>6</v>
      </c>
      <c r="Q10" s="23">
        <f>'Sm Comm Cust Fcst'!AA11</f>
        <v>7</v>
      </c>
      <c r="R10" s="45">
        <f t="shared" si="1"/>
        <v>30938</v>
      </c>
      <c r="S10" s="23">
        <f>'Sch AL-TOU Cust Fcst'!F9</f>
        <v>647</v>
      </c>
      <c r="T10" s="23">
        <f>'Sch AL-TOU Cust Fcst'!G9</f>
        <v>1</v>
      </c>
      <c r="U10" s="23">
        <f>'Sch AL-TOU Cust Fcst'!H9</f>
        <v>0</v>
      </c>
      <c r="V10" s="23">
        <f>'Sch DG-R Cust Fcst'!F9</f>
        <v>2</v>
      </c>
      <c r="W10" s="23">
        <f>'Sch DG-R Cust Fcst'!G9</f>
        <v>0</v>
      </c>
      <c r="X10" s="23">
        <f>'Sch A6-TOU Cust Fcst '!B9</f>
        <v>0</v>
      </c>
      <c r="Y10" s="23">
        <f>'Sch A6-TOU Cust Fcst '!C9</f>
        <v>0</v>
      </c>
      <c r="Z10" s="23">
        <f>'Sch OL-TOU Cust Fcst'!F9</f>
        <v>0</v>
      </c>
      <c r="AA10" s="45">
        <f t="shared" si="2"/>
        <v>650</v>
      </c>
      <c r="AB10" s="137">
        <f>'Sch PA-T-1 Cust Fcst'!F9</f>
        <v>23</v>
      </c>
      <c r="AC10" s="23">
        <f>'Sch PA-T-1 Cust Fcst'!G9</f>
        <v>0</v>
      </c>
      <c r="AD10" s="23">
        <f>'Sch TOU-PA Cust Fcst'!F9</f>
        <v>301</v>
      </c>
      <c r="AE10" s="23">
        <f>'Sch TOU-PA Cust Fcst'!G9</f>
        <v>0</v>
      </c>
      <c r="AF10" s="45">
        <f t="shared" si="3"/>
        <v>324</v>
      </c>
      <c r="AG10" s="165"/>
      <c r="AH10" s="165">
        <f t="shared" si="4"/>
        <v>69413</v>
      </c>
      <c r="AJ10" s="137">
        <v>165</v>
      </c>
      <c r="AK10" s="23">
        <v>0</v>
      </c>
      <c r="AL10" s="45">
        <f t="shared" si="5"/>
        <v>165</v>
      </c>
      <c r="AM10" s="165"/>
      <c r="AN10" s="165">
        <f t="shared" si="6"/>
        <v>165</v>
      </c>
    </row>
    <row r="11" spans="1:40">
      <c r="A11" s="22" t="s">
        <v>116</v>
      </c>
      <c r="B11" s="137">
        <f>'Resid Cust Fcst '!H12</f>
        <v>3803</v>
      </c>
      <c r="C11" s="23">
        <f>'Resid Cust Fcst '!O12</f>
        <v>33</v>
      </c>
      <c r="D11" s="23">
        <f>'Resid Cust Fcst '!V12</f>
        <v>11</v>
      </c>
      <c r="E11" s="23">
        <f>'Resid Cust Fcst '!AC12</f>
        <v>15</v>
      </c>
      <c r="F11" s="23">
        <f>'Resid Cust Fcst '!AJ12</f>
        <v>5</v>
      </c>
      <c r="G11" s="23">
        <f>'Resid Cust Fcst '!AQ12</f>
        <v>19</v>
      </c>
      <c r="H11" s="23">
        <f>'Resid Cust Fcst '!AX12</f>
        <v>37</v>
      </c>
      <c r="I11" s="23">
        <f>'Resid Cust Fcst '!BE12</f>
        <v>52</v>
      </c>
      <c r="J11" s="23">
        <f>'Resid Cust Fcst '!BL12</f>
        <v>1</v>
      </c>
      <c r="K11" s="23">
        <f>'Resid Cust Fcst '!BS12</f>
        <v>308</v>
      </c>
      <c r="L11" s="45">
        <f t="shared" si="0"/>
        <v>4284</v>
      </c>
      <c r="M11" s="23">
        <f>'Sm Comm Cust Fcst'!F12</f>
        <v>17282</v>
      </c>
      <c r="N11" s="23">
        <f>'Sm Comm Cust Fcst'!G12</f>
        <v>6</v>
      </c>
      <c r="O11" s="23">
        <f>'Sm Comm Cust Fcst'!M12</f>
        <v>12</v>
      </c>
      <c r="P11" s="23">
        <f>'Sm Comm Cust Fcst'!T12</f>
        <v>25</v>
      </c>
      <c r="Q11" s="23">
        <f>'Sm Comm Cust Fcst'!AA12</f>
        <v>3</v>
      </c>
      <c r="R11" s="45">
        <f t="shared" si="1"/>
        <v>17328</v>
      </c>
      <c r="S11" s="23">
        <f>'Sch AL-TOU Cust Fcst'!F10</f>
        <v>1194</v>
      </c>
      <c r="T11" s="23">
        <f>'Sch AL-TOU Cust Fcst'!G10</f>
        <v>3</v>
      </c>
      <c r="U11" s="23">
        <f>'Sch AL-TOU Cust Fcst'!H10</f>
        <v>0</v>
      </c>
      <c r="V11" s="23">
        <f>'Sch DG-R Cust Fcst'!F10</f>
        <v>4</v>
      </c>
      <c r="W11" s="23">
        <f>'Sch DG-R Cust Fcst'!G10</f>
        <v>0</v>
      </c>
      <c r="X11" s="23">
        <f>'Sch A6-TOU Cust Fcst '!B10</f>
        <v>0</v>
      </c>
      <c r="Y11" s="23">
        <f>'Sch A6-TOU Cust Fcst '!C10</f>
        <v>0</v>
      </c>
      <c r="Z11" s="23">
        <f>'Sch OL-TOU Cust Fcst'!F10</f>
        <v>0</v>
      </c>
      <c r="AA11" s="45">
        <f t="shared" si="2"/>
        <v>1201</v>
      </c>
      <c r="AB11" s="137">
        <f>'Sch PA-T-1 Cust Fcst'!F10</f>
        <v>23</v>
      </c>
      <c r="AC11" s="23">
        <f>'Sch PA-T-1 Cust Fcst'!G10</f>
        <v>0</v>
      </c>
      <c r="AD11" s="23">
        <f>'Sch TOU-PA Cust Fcst'!F10</f>
        <v>127</v>
      </c>
      <c r="AE11" s="23">
        <f>'Sch TOU-PA Cust Fcst'!G10</f>
        <v>0</v>
      </c>
      <c r="AF11" s="45">
        <f t="shared" si="3"/>
        <v>150</v>
      </c>
      <c r="AG11" s="165"/>
      <c r="AH11" s="165">
        <f t="shared" si="4"/>
        <v>22963</v>
      </c>
      <c r="AJ11" s="137">
        <v>112</v>
      </c>
      <c r="AK11" s="23">
        <v>0</v>
      </c>
      <c r="AL11" s="45">
        <f t="shared" si="5"/>
        <v>112</v>
      </c>
      <c r="AM11" s="165"/>
      <c r="AN11" s="165">
        <f t="shared" si="6"/>
        <v>112</v>
      </c>
    </row>
    <row r="12" spans="1:40">
      <c r="A12" s="22" t="s">
        <v>8</v>
      </c>
      <c r="B12" s="137">
        <f>'Resid Cust Fcst '!H13</f>
        <v>2720</v>
      </c>
      <c r="C12" s="23">
        <f>'Resid Cust Fcst '!O13</f>
        <v>36</v>
      </c>
      <c r="D12" s="23">
        <f>'Resid Cust Fcst '!V13</f>
        <v>30</v>
      </c>
      <c r="E12" s="23">
        <f>'Resid Cust Fcst '!AC13</f>
        <v>85</v>
      </c>
      <c r="F12" s="23">
        <f>'Resid Cust Fcst '!AJ13</f>
        <v>13</v>
      </c>
      <c r="G12" s="23">
        <f>'Resid Cust Fcst '!AQ13</f>
        <v>15</v>
      </c>
      <c r="H12" s="23">
        <f>'Resid Cust Fcst '!AX13</f>
        <v>25</v>
      </c>
      <c r="I12" s="23">
        <f>'Resid Cust Fcst '!BE13</f>
        <v>43</v>
      </c>
      <c r="J12" s="23">
        <f>'Resid Cust Fcst '!BL13</f>
        <v>1</v>
      </c>
      <c r="K12" s="23">
        <f>'Resid Cust Fcst '!BS13</f>
        <v>269</v>
      </c>
      <c r="L12" s="45">
        <f t="shared" si="0"/>
        <v>3237</v>
      </c>
      <c r="M12" s="23">
        <f>'Sm Comm Cust Fcst'!F13</f>
        <v>4413</v>
      </c>
      <c r="N12" s="23">
        <f>'Sm Comm Cust Fcst'!G13</f>
        <v>0</v>
      </c>
      <c r="O12" s="23">
        <f>'Sm Comm Cust Fcst'!M13</f>
        <v>0</v>
      </c>
      <c r="P12" s="23">
        <f>'Sm Comm Cust Fcst'!T13</f>
        <v>27</v>
      </c>
      <c r="Q12" s="23">
        <f>'Sm Comm Cust Fcst'!AA13</f>
        <v>8</v>
      </c>
      <c r="R12" s="45">
        <f t="shared" si="1"/>
        <v>4448</v>
      </c>
      <c r="S12" s="23">
        <f>'Sch AL-TOU Cust Fcst'!F11</f>
        <v>6241</v>
      </c>
      <c r="T12" s="23">
        <f>'Sch AL-TOU Cust Fcst'!G11</f>
        <v>7</v>
      </c>
      <c r="U12" s="23">
        <f>'Sch AL-TOU Cust Fcst'!H11</f>
        <v>0</v>
      </c>
      <c r="V12" s="23">
        <f>'Sch DG-R Cust Fcst'!F11</f>
        <v>64</v>
      </c>
      <c r="W12" s="23">
        <f>'Sch DG-R Cust Fcst'!G11</f>
        <v>0</v>
      </c>
      <c r="X12" s="23">
        <f>'Sch A6-TOU Cust Fcst '!B11</f>
        <v>0</v>
      </c>
      <c r="Y12" s="23">
        <f>'Sch A6-TOU Cust Fcst '!C11</f>
        <v>0</v>
      </c>
      <c r="Z12" s="23">
        <f>'Sch OL-TOU Cust Fcst'!F11</f>
        <v>1</v>
      </c>
      <c r="AA12" s="45">
        <f t="shared" si="2"/>
        <v>6313</v>
      </c>
      <c r="AB12" s="137">
        <f>'Sch PA-T-1 Cust Fcst'!F11</f>
        <v>87</v>
      </c>
      <c r="AC12" s="23">
        <f>'Sch PA-T-1 Cust Fcst'!G11</f>
        <v>0</v>
      </c>
      <c r="AD12" s="23">
        <f>'Sch TOU-PA Cust Fcst'!F11</f>
        <v>270</v>
      </c>
      <c r="AE12" s="23">
        <f>'Sch TOU-PA Cust Fcst'!G11</f>
        <v>0</v>
      </c>
      <c r="AF12" s="45">
        <f t="shared" si="3"/>
        <v>357</v>
      </c>
      <c r="AG12" s="165"/>
      <c r="AH12" s="165">
        <f t="shared" si="4"/>
        <v>14355</v>
      </c>
      <c r="AJ12" s="137">
        <v>152</v>
      </c>
      <c r="AK12" s="23">
        <v>2</v>
      </c>
      <c r="AL12" s="45">
        <f t="shared" si="5"/>
        <v>154</v>
      </c>
      <c r="AM12" s="165"/>
      <c r="AN12" s="165">
        <f t="shared" si="6"/>
        <v>154</v>
      </c>
    </row>
    <row r="13" spans="1:40">
      <c r="A13" s="22" t="s">
        <v>9</v>
      </c>
      <c r="B13" s="137">
        <f>'Resid Cust Fcst '!H14</f>
        <v>167</v>
      </c>
      <c r="C13" s="23">
        <f>'Resid Cust Fcst '!O14</f>
        <v>13</v>
      </c>
      <c r="D13" s="23">
        <f>'Resid Cust Fcst '!V14</f>
        <v>5</v>
      </c>
      <c r="E13" s="23">
        <f>'Resid Cust Fcst '!AC14</f>
        <v>59</v>
      </c>
      <c r="F13" s="23">
        <f>'Resid Cust Fcst '!AJ14</f>
        <v>11</v>
      </c>
      <c r="G13" s="23">
        <f>'Resid Cust Fcst '!AQ14</f>
        <v>1</v>
      </c>
      <c r="H13" s="23">
        <f>'Resid Cust Fcst '!AX14</f>
        <v>5</v>
      </c>
      <c r="I13" s="23">
        <f>'Resid Cust Fcst '!BE14</f>
        <v>4</v>
      </c>
      <c r="J13" s="23">
        <f>'Resid Cust Fcst '!BL14</f>
        <v>0</v>
      </c>
      <c r="K13" s="23">
        <f>'Resid Cust Fcst '!BS14</f>
        <v>20</v>
      </c>
      <c r="L13" s="45">
        <f t="shared" si="0"/>
        <v>285</v>
      </c>
      <c r="M13" s="23">
        <f>'Sm Comm Cust Fcst'!F14</f>
        <v>4089</v>
      </c>
      <c r="N13" s="23">
        <f>'Sm Comm Cust Fcst'!G14</f>
        <v>2</v>
      </c>
      <c r="O13" s="23">
        <f>'Sm Comm Cust Fcst'!M14</f>
        <v>0</v>
      </c>
      <c r="P13" s="23">
        <f>'Sm Comm Cust Fcst'!T14</f>
        <v>91</v>
      </c>
      <c r="Q13" s="23">
        <f>'Sm Comm Cust Fcst'!AA14</f>
        <v>7</v>
      </c>
      <c r="R13" s="45">
        <f t="shared" si="1"/>
        <v>4189</v>
      </c>
      <c r="S13" s="23">
        <f>'Sch AL-TOU Cust Fcst'!F12</f>
        <v>2868</v>
      </c>
      <c r="T13" s="23">
        <f>'Sch AL-TOU Cust Fcst'!G12</f>
        <v>8</v>
      </c>
      <c r="U13" s="23">
        <f>'Sch AL-TOU Cust Fcst'!H12</f>
        <v>0</v>
      </c>
      <c r="V13" s="23">
        <f>'Sch DG-R Cust Fcst'!F12</f>
        <v>59</v>
      </c>
      <c r="W13" s="23">
        <f>'Sch DG-R Cust Fcst'!G12</f>
        <v>0</v>
      </c>
      <c r="X13" s="23">
        <f>'Sch A6-TOU Cust Fcst '!B12</f>
        <v>0</v>
      </c>
      <c r="Y13" s="23">
        <f>'Sch A6-TOU Cust Fcst '!C12</f>
        <v>0</v>
      </c>
      <c r="Z13" s="23">
        <f>'Sch OL-TOU Cust Fcst'!F12</f>
        <v>7</v>
      </c>
      <c r="AA13" s="45">
        <f t="shared" si="2"/>
        <v>2942</v>
      </c>
      <c r="AB13" s="137">
        <f>'Sch PA-T-1 Cust Fcst'!F12</f>
        <v>59</v>
      </c>
      <c r="AC13" s="23">
        <f>'Sch PA-T-1 Cust Fcst'!G12</f>
        <v>0</v>
      </c>
      <c r="AD13" s="23">
        <f>'Sch TOU-PA Cust Fcst'!F12</f>
        <v>116</v>
      </c>
      <c r="AE13" s="23">
        <f>'Sch TOU-PA Cust Fcst'!G12</f>
        <v>0</v>
      </c>
      <c r="AF13" s="45">
        <f t="shared" si="3"/>
        <v>175</v>
      </c>
      <c r="AG13" s="165"/>
      <c r="AH13" s="165">
        <f t="shared" si="4"/>
        <v>7591</v>
      </c>
      <c r="AJ13" s="137">
        <v>172</v>
      </c>
      <c r="AK13" s="23">
        <v>0</v>
      </c>
      <c r="AL13" s="45">
        <f t="shared" si="5"/>
        <v>172</v>
      </c>
      <c r="AM13" s="165"/>
      <c r="AN13" s="165">
        <f t="shared" si="6"/>
        <v>172</v>
      </c>
    </row>
    <row r="14" spans="1:40">
      <c r="A14" s="22" t="s">
        <v>10</v>
      </c>
      <c r="B14" s="137">
        <f>'Resid Cust Fcst '!H15</f>
        <v>9</v>
      </c>
      <c r="C14" s="23">
        <f>'Resid Cust Fcst '!O15</f>
        <v>2</v>
      </c>
      <c r="D14" s="23">
        <f>'Resid Cust Fcst '!V15</f>
        <v>5</v>
      </c>
      <c r="E14" s="23">
        <f>'Resid Cust Fcst '!AC15</f>
        <v>33</v>
      </c>
      <c r="F14" s="23">
        <f>'Resid Cust Fcst '!AJ15</f>
        <v>5</v>
      </c>
      <c r="G14" s="23">
        <f>'Resid Cust Fcst '!AQ15</f>
        <v>0</v>
      </c>
      <c r="H14" s="23">
        <f>'Resid Cust Fcst '!AX15</f>
        <v>0</v>
      </c>
      <c r="I14" s="23">
        <f>'Resid Cust Fcst '!BE15</f>
        <v>0</v>
      </c>
      <c r="J14" s="23">
        <f>'Resid Cust Fcst '!BL15</f>
        <v>0</v>
      </c>
      <c r="K14" s="23">
        <f>'Resid Cust Fcst '!BS15</f>
        <v>3</v>
      </c>
      <c r="L14" s="45">
        <f t="shared" si="0"/>
        <v>57</v>
      </c>
      <c r="M14" s="23">
        <f>'Sm Comm Cust Fcst'!F15</f>
        <v>447</v>
      </c>
      <c r="N14" s="23">
        <f>'Sm Comm Cust Fcst'!G15</f>
        <v>1</v>
      </c>
      <c r="O14" s="23">
        <f>'Sm Comm Cust Fcst'!M15</f>
        <v>0</v>
      </c>
      <c r="P14" s="23">
        <f>'Sm Comm Cust Fcst'!T15</f>
        <v>1</v>
      </c>
      <c r="Q14" s="23">
        <f>'Sm Comm Cust Fcst'!AA15</f>
        <v>0</v>
      </c>
      <c r="R14" s="45">
        <f t="shared" si="1"/>
        <v>449</v>
      </c>
      <c r="S14" s="23">
        <f>'Sch AL-TOU Cust Fcst'!F13</f>
        <v>1553</v>
      </c>
      <c r="T14" s="23">
        <f>'Sch AL-TOU Cust Fcst'!G13</f>
        <v>5</v>
      </c>
      <c r="U14" s="23">
        <f>'Sch AL-TOU Cust Fcst'!H13</f>
        <v>1</v>
      </c>
      <c r="V14" s="23">
        <f>'Sch DG-R Cust Fcst'!F13</f>
        <v>37</v>
      </c>
      <c r="W14" s="23">
        <f>'Sch DG-R Cust Fcst'!G13</f>
        <v>0</v>
      </c>
      <c r="X14" s="23">
        <f>'Sch A6-TOU Cust Fcst '!B13</f>
        <v>0</v>
      </c>
      <c r="Y14" s="23">
        <f>'Sch A6-TOU Cust Fcst '!C13</f>
        <v>0</v>
      </c>
      <c r="Z14" s="23">
        <f>'Sch OL-TOU Cust Fcst'!F13</f>
        <v>1</v>
      </c>
      <c r="AA14" s="45">
        <f t="shared" si="2"/>
        <v>1597</v>
      </c>
      <c r="AB14" s="137">
        <f>'Sch PA-T-1 Cust Fcst'!F13</f>
        <v>42</v>
      </c>
      <c r="AC14" s="23">
        <f>'Sch PA-T-1 Cust Fcst'!G13</f>
        <v>0</v>
      </c>
      <c r="AD14" s="23">
        <f>'Sch TOU-PA Cust Fcst'!F13</f>
        <v>58</v>
      </c>
      <c r="AE14" s="23">
        <f>'Sch TOU-PA Cust Fcst'!G13</f>
        <v>0</v>
      </c>
      <c r="AF14" s="45">
        <f t="shared" si="3"/>
        <v>100</v>
      </c>
      <c r="AG14" s="165"/>
      <c r="AH14" s="165">
        <f t="shared" si="4"/>
        <v>2203</v>
      </c>
      <c r="AJ14" s="137">
        <v>79</v>
      </c>
      <c r="AK14" s="23">
        <v>0</v>
      </c>
      <c r="AL14" s="45">
        <f t="shared" si="5"/>
        <v>79</v>
      </c>
      <c r="AM14" s="165"/>
      <c r="AN14" s="165">
        <f t="shared" si="6"/>
        <v>79</v>
      </c>
    </row>
    <row r="15" spans="1:40">
      <c r="A15" s="22" t="s">
        <v>11</v>
      </c>
      <c r="B15" s="137">
        <f>'Resid Cust Fcst '!H16</f>
        <v>0</v>
      </c>
      <c r="C15" s="23">
        <f>'Resid Cust Fcst '!O16</f>
        <v>2</v>
      </c>
      <c r="D15" s="23">
        <f>'Resid Cust Fcst '!V16</f>
        <v>2</v>
      </c>
      <c r="E15" s="23">
        <f>'Resid Cust Fcst '!AC16</f>
        <v>48</v>
      </c>
      <c r="F15" s="23">
        <f>'Resid Cust Fcst '!AJ16</f>
        <v>1</v>
      </c>
      <c r="G15" s="23">
        <f>'Resid Cust Fcst '!AQ16</f>
        <v>0</v>
      </c>
      <c r="H15" s="23">
        <f>'Resid Cust Fcst '!AX16</f>
        <v>0</v>
      </c>
      <c r="I15" s="23">
        <f>'Resid Cust Fcst '!BE16</f>
        <v>1</v>
      </c>
      <c r="J15" s="23">
        <f>'Resid Cust Fcst '!BL16</f>
        <v>0</v>
      </c>
      <c r="K15" s="23">
        <f>'Resid Cust Fcst '!BS16</f>
        <v>1</v>
      </c>
      <c r="L15" s="45">
        <f t="shared" si="0"/>
        <v>55</v>
      </c>
      <c r="M15" s="23">
        <f>'Sm Comm Cust Fcst'!F16</f>
        <v>139</v>
      </c>
      <c r="N15" s="23">
        <f>'Sm Comm Cust Fcst'!G16</f>
        <v>0</v>
      </c>
      <c r="O15" s="23">
        <f>'Sm Comm Cust Fcst'!M16</f>
        <v>0</v>
      </c>
      <c r="P15" s="23">
        <f>'Sm Comm Cust Fcst'!T16</f>
        <v>0</v>
      </c>
      <c r="Q15" s="23">
        <f>'Sm Comm Cust Fcst'!AA16</f>
        <v>2</v>
      </c>
      <c r="R15" s="45">
        <f t="shared" si="1"/>
        <v>141</v>
      </c>
      <c r="S15" s="23">
        <f>'Sch AL-TOU Cust Fcst'!F14</f>
        <v>1580</v>
      </c>
      <c r="T15" s="23">
        <f>'Sch AL-TOU Cust Fcst'!G14</f>
        <v>19</v>
      </c>
      <c r="U15" s="23">
        <f>'Sch AL-TOU Cust Fcst'!H14</f>
        <v>4</v>
      </c>
      <c r="V15" s="23">
        <f>'Sch DG-R Cust Fcst'!F14</f>
        <v>27</v>
      </c>
      <c r="W15" s="23">
        <f>'Sch DG-R Cust Fcst'!G14</f>
        <v>0</v>
      </c>
      <c r="X15" s="23">
        <f>'Sch A6-TOU Cust Fcst '!B14</f>
        <v>0</v>
      </c>
      <c r="Y15" s="23">
        <f>'Sch A6-TOU Cust Fcst '!C14</f>
        <v>0</v>
      </c>
      <c r="Z15" s="23">
        <f>'Sch OL-TOU Cust Fcst'!F14</f>
        <v>9</v>
      </c>
      <c r="AA15" s="45">
        <f t="shared" si="2"/>
        <v>1639</v>
      </c>
      <c r="AB15" s="137">
        <f>'Sch PA-T-1 Cust Fcst'!F14</f>
        <v>53</v>
      </c>
      <c r="AC15" s="23">
        <f>'Sch PA-T-1 Cust Fcst'!G14</f>
        <v>0</v>
      </c>
      <c r="AD15" s="23">
        <f>'Sch TOU-PA Cust Fcst'!F14</f>
        <v>48</v>
      </c>
      <c r="AE15" s="23">
        <f>'Sch TOU-PA Cust Fcst'!G14</f>
        <v>0</v>
      </c>
      <c r="AF15" s="45">
        <f t="shared" si="3"/>
        <v>101</v>
      </c>
      <c r="AG15" s="165"/>
      <c r="AH15" s="165">
        <f t="shared" si="4"/>
        <v>1936</v>
      </c>
      <c r="AJ15" s="137">
        <v>126</v>
      </c>
      <c r="AK15" s="23">
        <v>7</v>
      </c>
      <c r="AL15" s="45">
        <f t="shared" si="5"/>
        <v>133</v>
      </c>
      <c r="AM15" s="165"/>
      <c r="AN15" s="165">
        <f t="shared" si="6"/>
        <v>133</v>
      </c>
    </row>
    <row r="16" spans="1:40">
      <c r="A16" s="22" t="s">
        <v>120</v>
      </c>
      <c r="B16" s="137">
        <f>'Resid Cust Fcst '!H17</f>
        <v>0</v>
      </c>
      <c r="C16" s="23">
        <f>'Resid Cust Fcst '!O17</f>
        <v>2</v>
      </c>
      <c r="D16" s="23">
        <f>'Resid Cust Fcst '!V17</f>
        <v>2</v>
      </c>
      <c r="E16" s="23">
        <f>'Resid Cust Fcst '!AC17</f>
        <v>26</v>
      </c>
      <c r="F16" s="23">
        <f>'Resid Cust Fcst '!AJ17</f>
        <v>2</v>
      </c>
      <c r="G16" s="23">
        <f>'Resid Cust Fcst '!AQ17</f>
        <v>0</v>
      </c>
      <c r="H16" s="23">
        <f>'Resid Cust Fcst '!AX17</f>
        <v>1</v>
      </c>
      <c r="I16" s="23">
        <f>'Resid Cust Fcst '!BE17</f>
        <v>0</v>
      </c>
      <c r="J16" s="23">
        <f>'Resid Cust Fcst '!BL17</f>
        <v>0</v>
      </c>
      <c r="K16" s="23">
        <f>'Resid Cust Fcst '!BS17</f>
        <v>0</v>
      </c>
      <c r="L16" s="45">
        <f t="shared" si="0"/>
        <v>33</v>
      </c>
      <c r="M16" s="23">
        <f>'Sm Comm Cust Fcst'!F17</f>
        <v>92</v>
      </c>
      <c r="N16" s="23">
        <f>'Sm Comm Cust Fcst'!G17</f>
        <v>0</v>
      </c>
      <c r="O16" s="23">
        <f>'Sm Comm Cust Fcst'!M17</f>
        <v>0</v>
      </c>
      <c r="P16" s="23">
        <f>'Sm Comm Cust Fcst'!T17</f>
        <v>0</v>
      </c>
      <c r="Q16" s="23">
        <f>'Sm Comm Cust Fcst'!AA17</f>
        <v>0</v>
      </c>
      <c r="R16" s="45">
        <f t="shared" si="1"/>
        <v>92</v>
      </c>
      <c r="S16" s="23">
        <f>'Sch AL-TOU Cust Fcst'!F15</f>
        <v>818</v>
      </c>
      <c r="T16" s="23">
        <f>'Sch AL-TOU Cust Fcst'!G15</f>
        <v>23</v>
      </c>
      <c r="U16" s="23">
        <f>'Sch AL-TOU Cust Fcst'!H15</f>
        <v>0</v>
      </c>
      <c r="V16" s="23">
        <f>'Sch DG-R Cust Fcst'!F15</f>
        <v>12</v>
      </c>
      <c r="W16" s="23">
        <f>'Sch DG-R Cust Fcst'!G15</f>
        <v>1</v>
      </c>
      <c r="X16" s="23">
        <f>'Sch A6-TOU Cust Fcst '!B15</f>
        <v>0</v>
      </c>
      <c r="Y16" s="23">
        <f>'Sch A6-TOU Cust Fcst '!C15</f>
        <v>0</v>
      </c>
      <c r="Z16" s="23">
        <f>'Sch OL-TOU Cust Fcst'!F15</f>
        <v>2</v>
      </c>
      <c r="AA16" s="45">
        <f t="shared" si="2"/>
        <v>856</v>
      </c>
      <c r="AB16" s="137">
        <f>'Sch PA-T-1 Cust Fcst'!F15</f>
        <v>26</v>
      </c>
      <c r="AC16" s="23">
        <f>'Sch PA-T-1 Cust Fcst'!G15</f>
        <v>0</v>
      </c>
      <c r="AD16" s="23">
        <f>'Sch TOU-PA Cust Fcst'!F15</f>
        <v>36</v>
      </c>
      <c r="AE16" s="23">
        <f>'Sch TOU-PA Cust Fcst'!G15</f>
        <v>0</v>
      </c>
      <c r="AF16" s="45">
        <f t="shared" si="3"/>
        <v>62</v>
      </c>
      <c r="AG16" s="165"/>
      <c r="AH16" s="165">
        <f t="shared" si="4"/>
        <v>1043</v>
      </c>
      <c r="AJ16" s="137">
        <v>163</v>
      </c>
      <c r="AK16" s="23">
        <v>7</v>
      </c>
      <c r="AL16" s="45">
        <f t="shared" si="5"/>
        <v>170</v>
      </c>
      <c r="AM16" s="165"/>
      <c r="AN16" s="165">
        <f t="shared" si="6"/>
        <v>170</v>
      </c>
    </row>
    <row r="17" spans="1:40">
      <c r="A17" s="22" t="s">
        <v>121</v>
      </c>
      <c r="B17" s="137">
        <f>'Resid Cust Fcst '!H18</f>
        <v>0</v>
      </c>
      <c r="C17" s="23">
        <f>'Resid Cust Fcst '!O18</f>
        <v>0</v>
      </c>
      <c r="D17" s="23">
        <f>'Resid Cust Fcst '!V18</f>
        <v>1</v>
      </c>
      <c r="E17" s="23">
        <f>'Resid Cust Fcst '!AC18</f>
        <v>15</v>
      </c>
      <c r="F17" s="23">
        <f>'Resid Cust Fcst '!AJ18</f>
        <v>1</v>
      </c>
      <c r="G17" s="23">
        <f>'Resid Cust Fcst '!AQ18</f>
        <v>0</v>
      </c>
      <c r="H17" s="23">
        <f>'Resid Cust Fcst '!AX18</f>
        <v>0</v>
      </c>
      <c r="I17" s="23">
        <f>'Resid Cust Fcst '!BE18</f>
        <v>0</v>
      </c>
      <c r="J17" s="23">
        <f>'Resid Cust Fcst '!BL18</f>
        <v>0</v>
      </c>
      <c r="K17" s="23">
        <f>'Resid Cust Fcst '!BS18</f>
        <v>0</v>
      </c>
      <c r="L17" s="45">
        <f t="shared" si="0"/>
        <v>17</v>
      </c>
      <c r="M17" s="23">
        <f>'Sm Comm Cust Fcst'!F18</f>
        <v>26</v>
      </c>
      <c r="N17" s="23">
        <f>'Sm Comm Cust Fcst'!G18</f>
        <v>0</v>
      </c>
      <c r="O17" s="23">
        <f>'Sm Comm Cust Fcst'!M18</f>
        <v>0</v>
      </c>
      <c r="P17" s="23">
        <f>'Sm Comm Cust Fcst'!T18</f>
        <v>0</v>
      </c>
      <c r="Q17" s="23">
        <f>'Sm Comm Cust Fcst'!AA18</f>
        <v>0</v>
      </c>
      <c r="R17" s="45">
        <f t="shared" si="1"/>
        <v>26</v>
      </c>
      <c r="S17" s="23">
        <f>'Sch AL-TOU Cust Fcst'!F16</f>
        <v>450</v>
      </c>
      <c r="T17" s="23">
        <f>'Sch AL-TOU Cust Fcst'!G16</f>
        <v>17</v>
      </c>
      <c r="U17" s="23">
        <f>'Sch AL-TOU Cust Fcst'!H16</f>
        <v>1</v>
      </c>
      <c r="V17" s="23">
        <f>'Sch DG-R Cust Fcst'!F16</f>
        <v>14</v>
      </c>
      <c r="W17" s="23">
        <f>'Sch DG-R Cust Fcst'!G16</f>
        <v>0</v>
      </c>
      <c r="X17" s="23">
        <f>'Sch A6-TOU Cust Fcst '!B16</f>
        <v>0</v>
      </c>
      <c r="Y17" s="23">
        <f>'Sch A6-TOU Cust Fcst '!C16</f>
        <v>0</v>
      </c>
      <c r="Z17" s="23">
        <f>'Sch OL-TOU Cust Fcst'!F16</f>
        <v>5</v>
      </c>
      <c r="AA17" s="45">
        <f t="shared" si="2"/>
        <v>487</v>
      </c>
      <c r="AB17" s="137">
        <f>'Sch PA-T-1 Cust Fcst'!F16</f>
        <v>26</v>
      </c>
      <c r="AC17" s="23">
        <f>'Sch PA-T-1 Cust Fcst'!G16</f>
        <v>0</v>
      </c>
      <c r="AD17" s="23">
        <f>'Sch TOU-PA Cust Fcst'!F16</f>
        <v>11</v>
      </c>
      <c r="AE17" s="23">
        <f>'Sch TOU-PA Cust Fcst'!G16</f>
        <v>1</v>
      </c>
      <c r="AF17" s="45">
        <f t="shared" si="3"/>
        <v>38</v>
      </c>
      <c r="AG17" s="165"/>
      <c r="AH17" s="165">
        <f t="shared" si="4"/>
        <v>568</v>
      </c>
      <c r="AJ17" s="137">
        <v>119</v>
      </c>
      <c r="AK17" s="23">
        <v>6</v>
      </c>
      <c r="AL17" s="45">
        <f t="shared" si="5"/>
        <v>125</v>
      </c>
      <c r="AM17" s="165"/>
      <c r="AN17" s="165">
        <f t="shared" si="6"/>
        <v>125</v>
      </c>
    </row>
    <row r="18" spans="1:40">
      <c r="A18" s="22" t="s">
        <v>12</v>
      </c>
      <c r="B18" s="137">
        <f>'Resid Cust Fcst '!H19</f>
        <v>0</v>
      </c>
      <c r="C18" s="23">
        <f>'Resid Cust Fcst '!O19</f>
        <v>0</v>
      </c>
      <c r="D18" s="23">
        <f>'Resid Cust Fcst '!V19</f>
        <v>0</v>
      </c>
      <c r="E18" s="23">
        <f>'Resid Cust Fcst '!AC19</f>
        <v>27</v>
      </c>
      <c r="F18" s="23">
        <f>'Resid Cust Fcst '!AJ19</f>
        <v>0</v>
      </c>
      <c r="G18" s="23">
        <f>'Resid Cust Fcst '!AQ19</f>
        <v>0</v>
      </c>
      <c r="H18" s="23">
        <f>'Resid Cust Fcst '!AX19</f>
        <v>0</v>
      </c>
      <c r="I18" s="23">
        <f>'Resid Cust Fcst '!BE19</f>
        <v>0</v>
      </c>
      <c r="J18" s="23">
        <f>'Resid Cust Fcst '!BL19</f>
        <v>0</v>
      </c>
      <c r="K18" s="23">
        <f>'Resid Cust Fcst '!BS19</f>
        <v>0</v>
      </c>
      <c r="L18" s="45">
        <f t="shared" si="0"/>
        <v>27</v>
      </c>
      <c r="M18" s="23">
        <f>'Sm Comm Cust Fcst'!F19</f>
        <v>14</v>
      </c>
      <c r="N18" s="23">
        <f>'Sm Comm Cust Fcst'!G19</f>
        <v>0</v>
      </c>
      <c r="O18" s="23">
        <f>'Sm Comm Cust Fcst'!M19</f>
        <v>0</v>
      </c>
      <c r="P18" s="23">
        <f>'Sm Comm Cust Fcst'!T19</f>
        <v>0</v>
      </c>
      <c r="Q18" s="23">
        <f>'Sm Comm Cust Fcst'!AA19</f>
        <v>0</v>
      </c>
      <c r="R18" s="45">
        <f t="shared" si="1"/>
        <v>14</v>
      </c>
      <c r="S18" s="23">
        <f>'Sch AL-TOU Cust Fcst'!F17</f>
        <v>537</v>
      </c>
      <c r="T18" s="23">
        <f>'Sch AL-TOU Cust Fcst'!G17</f>
        <v>27</v>
      </c>
      <c r="U18" s="23">
        <f>'Sch AL-TOU Cust Fcst'!H17</f>
        <v>0</v>
      </c>
      <c r="V18" s="23">
        <f>'Sch DG-R Cust Fcst'!F17</f>
        <v>13</v>
      </c>
      <c r="W18" s="23">
        <f>'Sch DG-R Cust Fcst'!G17</f>
        <v>0</v>
      </c>
      <c r="X18" s="23">
        <f>'Sch A6-TOU Cust Fcst '!B17</f>
        <v>0</v>
      </c>
      <c r="Y18" s="23">
        <f>'Sch A6-TOU Cust Fcst '!C17</f>
        <v>0</v>
      </c>
      <c r="Z18" s="23">
        <f>'Sch OL-TOU Cust Fcst'!F17</f>
        <v>3</v>
      </c>
      <c r="AA18" s="45">
        <f t="shared" si="2"/>
        <v>580</v>
      </c>
      <c r="AB18" s="137">
        <f>'Sch PA-T-1 Cust Fcst'!F17</f>
        <v>18</v>
      </c>
      <c r="AC18" s="23">
        <f>'Sch PA-T-1 Cust Fcst'!G17</f>
        <v>0</v>
      </c>
      <c r="AD18" s="23">
        <f>'Sch TOU-PA Cust Fcst'!F17</f>
        <v>11</v>
      </c>
      <c r="AE18" s="23">
        <f>'Sch TOU-PA Cust Fcst'!G17</f>
        <v>0</v>
      </c>
      <c r="AF18" s="45">
        <f t="shared" si="3"/>
        <v>29</v>
      </c>
      <c r="AG18" s="165"/>
      <c r="AH18" s="165">
        <f t="shared" si="4"/>
        <v>650</v>
      </c>
      <c r="AJ18" s="137">
        <v>119</v>
      </c>
      <c r="AK18" s="23">
        <v>6</v>
      </c>
      <c r="AL18" s="45">
        <f t="shared" si="5"/>
        <v>125</v>
      </c>
      <c r="AM18" s="165"/>
      <c r="AN18" s="165">
        <f t="shared" si="6"/>
        <v>125</v>
      </c>
    </row>
    <row r="19" spans="1:40">
      <c r="A19" s="22" t="s">
        <v>13</v>
      </c>
      <c r="B19" s="137">
        <f>'Resid Cust Fcst '!H20</f>
        <v>0</v>
      </c>
      <c r="C19" s="23">
        <f>'Resid Cust Fcst '!O20</f>
        <v>0</v>
      </c>
      <c r="D19" s="23">
        <f>'Resid Cust Fcst '!V20</f>
        <v>0</v>
      </c>
      <c r="E19" s="23">
        <f>'Resid Cust Fcst '!AC20</f>
        <v>20</v>
      </c>
      <c r="F19" s="23">
        <f>'Resid Cust Fcst '!AJ20</f>
        <v>0</v>
      </c>
      <c r="G19" s="23">
        <f>'Resid Cust Fcst '!AQ20</f>
        <v>0</v>
      </c>
      <c r="H19" s="23">
        <f>'Resid Cust Fcst '!AX20</f>
        <v>0</v>
      </c>
      <c r="I19" s="23">
        <f>'Resid Cust Fcst '!BE20</f>
        <v>0</v>
      </c>
      <c r="J19" s="23">
        <f>'Resid Cust Fcst '!BL20</f>
        <v>0</v>
      </c>
      <c r="K19" s="23">
        <f>'Resid Cust Fcst '!BS20</f>
        <v>0</v>
      </c>
      <c r="L19" s="45">
        <f t="shared" si="0"/>
        <v>20</v>
      </c>
      <c r="M19" s="23">
        <f>'Sm Comm Cust Fcst'!F20</f>
        <v>16</v>
      </c>
      <c r="N19" s="23">
        <f>'Sm Comm Cust Fcst'!G20</f>
        <v>0</v>
      </c>
      <c r="O19" s="23">
        <f>'Sm Comm Cust Fcst'!M20</f>
        <v>0</v>
      </c>
      <c r="P19" s="23">
        <f>'Sm Comm Cust Fcst'!T20</f>
        <v>0</v>
      </c>
      <c r="Q19" s="23">
        <f>'Sm Comm Cust Fcst'!AA20</f>
        <v>0</v>
      </c>
      <c r="R19" s="45">
        <f t="shared" si="1"/>
        <v>16</v>
      </c>
      <c r="S19" s="23">
        <f>'Sch AL-TOU Cust Fcst'!F18</f>
        <v>294</v>
      </c>
      <c r="T19" s="23">
        <f>'Sch AL-TOU Cust Fcst'!G18</f>
        <v>27</v>
      </c>
      <c r="U19" s="23">
        <f>'Sch AL-TOU Cust Fcst'!H18</f>
        <v>0</v>
      </c>
      <c r="V19" s="23">
        <f>'Sch DG-R Cust Fcst'!F18</f>
        <v>4</v>
      </c>
      <c r="W19" s="23">
        <f>'Sch DG-R Cust Fcst'!G18</f>
        <v>1</v>
      </c>
      <c r="X19" s="23">
        <f>'Sch A6-TOU Cust Fcst '!B18</f>
        <v>0</v>
      </c>
      <c r="Y19" s="23">
        <f>'Sch A6-TOU Cust Fcst '!C18</f>
        <v>0</v>
      </c>
      <c r="Z19" s="23">
        <f>'Sch OL-TOU Cust Fcst'!F18</f>
        <v>0</v>
      </c>
      <c r="AA19" s="45">
        <f t="shared" si="2"/>
        <v>326</v>
      </c>
      <c r="AB19" s="137">
        <f>'Sch PA-T-1 Cust Fcst'!F18</f>
        <v>14</v>
      </c>
      <c r="AC19" s="23">
        <f>'Sch PA-T-1 Cust Fcst'!G18</f>
        <v>1</v>
      </c>
      <c r="AD19" s="23">
        <f>'Sch TOU-PA Cust Fcst'!F18</f>
        <v>7</v>
      </c>
      <c r="AE19" s="23">
        <f>'Sch TOU-PA Cust Fcst'!G18</f>
        <v>1</v>
      </c>
      <c r="AF19" s="45">
        <f t="shared" si="3"/>
        <v>23</v>
      </c>
      <c r="AG19" s="165"/>
      <c r="AH19" s="165">
        <f t="shared" si="4"/>
        <v>385</v>
      </c>
      <c r="AJ19" s="137">
        <v>37</v>
      </c>
      <c r="AK19" s="23">
        <v>11</v>
      </c>
      <c r="AL19" s="45">
        <f t="shared" si="5"/>
        <v>48</v>
      </c>
      <c r="AM19" s="165"/>
      <c r="AN19" s="165">
        <f t="shared" si="6"/>
        <v>48</v>
      </c>
    </row>
    <row r="20" spans="1:40">
      <c r="A20" s="22" t="s">
        <v>122</v>
      </c>
      <c r="B20" s="137">
        <f>'Resid Cust Fcst '!H21</f>
        <v>0</v>
      </c>
      <c r="C20" s="23">
        <f>'Resid Cust Fcst '!O21</f>
        <v>0</v>
      </c>
      <c r="D20" s="23">
        <f>'Resid Cust Fcst '!V21</f>
        <v>1</v>
      </c>
      <c r="E20" s="23">
        <f>'Resid Cust Fcst '!AC21</f>
        <v>8</v>
      </c>
      <c r="F20" s="23">
        <f>'Resid Cust Fcst '!AJ21</f>
        <v>0</v>
      </c>
      <c r="G20" s="23">
        <f>'Resid Cust Fcst '!AQ21</f>
        <v>0</v>
      </c>
      <c r="H20" s="23">
        <f>'Resid Cust Fcst '!AX21</f>
        <v>0</v>
      </c>
      <c r="I20" s="23">
        <f>'Resid Cust Fcst '!BE21</f>
        <v>0</v>
      </c>
      <c r="J20" s="23">
        <f>'Resid Cust Fcst '!BL21</f>
        <v>0</v>
      </c>
      <c r="K20" s="23">
        <f>'Resid Cust Fcst '!BS21</f>
        <v>0</v>
      </c>
      <c r="L20" s="45">
        <f t="shared" si="0"/>
        <v>9</v>
      </c>
      <c r="M20" s="23">
        <f>'Sm Comm Cust Fcst'!F21</f>
        <v>8</v>
      </c>
      <c r="N20" s="23">
        <f>'Sm Comm Cust Fcst'!G21</f>
        <v>0</v>
      </c>
      <c r="O20" s="23">
        <f>'Sm Comm Cust Fcst'!M21</f>
        <v>0</v>
      </c>
      <c r="P20" s="23">
        <f>'Sm Comm Cust Fcst'!T21</f>
        <v>0</v>
      </c>
      <c r="Q20" s="23">
        <f>'Sm Comm Cust Fcst'!AA21</f>
        <v>0</v>
      </c>
      <c r="R20" s="45">
        <f t="shared" si="1"/>
        <v>8</v>
      </c>
      <c r="S20" s="23">
        <f>'Sch AL-TOU Cust Fcst'!F19</f>
        <v>99</v>
      </c>
      <c r="T20" s="23">
        <f>'Sch AL-TOU Cust Fcst'!G19</f>
        <v>13</v>
      </c>
      <c r="U20" s="23">
        <f>'Sch AL-TOU Cust Fcst'!H19</f>
        <v>1</v>
      </c>
      <c r="V20" s="23">
        <f>'Sch DG-R Cust Fcst'!F19</f>
        <v>1</v>
      </c>
      <c r="W20" s="23">
        <f>'Sch DG-R Cust Fcst'!G19</f>
        <v>0</v>
      </c>
      <c r="X20" s="23">
        <f>'Sch A6-TOU Cust Fcst '!B19</f>
        <v>0</v>
      </c>
      <c r="Y20" s="23">
        <f>'Sch A6-TOU Cust Fcst '!C19</f>
        <v>0</v>
      </c>
      <c r="Z20" s="23">
        <f>'Sch OL-TOU Cust Fcst'!F19</f>
        <v>0</v>
      </c>
      <c r="AA20" s="45">
        <f t="shared" si="2"/>
        <v>114</v>
      </c>
      <c r="AB20" s="137">
        <f>'Sch PA-T-1 Cust Fcst'!F19</f>
        <v>7</v>
      </c>
      <c r="AC20" s="23">
        <f>'Sch PA-T-1 Cust Fcst'!G19</f>
        <v>1</v>
      </c>
      <c r="AD20" s="23">
        <f>'Sch TOU-PA Cust Fcst'!F19</f>
        <v>3</v>
      </c>
      <c r="AE20" s="23">
        <f>'Sch TOU-PA Cust Fcst'!G19</f>
        <v>0</v>
      </c>
      <c r="AF20" s="45">
        <f t="shared" si="3"/>
        <v>11</v>
      </c>
      <c r="AG20" s="165"/>
      <c r="AH20" s="165">
        <f t="shared" si="4"/>
        <v>142</v>
      </c>
      <c r="AJ20" s="137">
        <v>16</v>
      </c>
      <c r="AK20" s="23">
        <v>2</v>
      </c>
      <c r="AL20" s="45">
        <f t="shared" si="5"/>
        <v>18</v>
      </c>
      <c r="AM20" s="165"/>
      <c r="AN20" s="165">
        <f t="shared" si="6"/>
        <v>18</v>
      </c>
    </row>
    <row r="21" spans="1:40">
      <c r="A21" s="22" t="s">
        <v>123</v>
      </c>
      <c r="B21" s="137">
        <f>'Resid Cust Fcst '!H22</f>
        <v>0</v>
      </c>
      <c r="C21" s="23">
        <f>'Resid Cust Fcst '!O22</f>
        <v>0</v>
      </c>
      <c r="D21" s="23">
        <f>'Resid Cust Fcst '!V22</f>
        <v>0</v>
      </c>
      <c r="E21" s="23">
        <f>'Resid Cust Fcst '!AC22</f>
        <v>3</v>
      </c>
      <c r="F21" s="23">
        <f>'Resid Cust Fcst '!AJ22</f>
        <v>0</v>
      </c>
      <c r="G21" s="23">
        <f>'Resid Cust Fcst '!AQ22</f>
        <v>0</v>
      </c>
      <c r="H21" s="23">
        <f>'Resid Cust Fcst '!AX22</f>
        <v>0</v>
      </c>
      <c r="I21" s="23">
        <f>'Resid Cust Fcst '!BE22</f>
        <v>0</v>
      </c>
      <c r="J21" s="23">
        <f>'Resid Cust Fcst '!BL22</f>
        <v>0</v>
      </c>
      <c r="K21" s="23">
        <f>'Resid Cust Fcst '!BS22</f>
        <v>0</v>
      </c>
      <c r="L21" s="45">
        <f t="shared" si="0"/>
        <v>3</v>
      </c>
      <c r="M21" s="23">
        <f>'Sm Comm Cust Fcst'!F22</f>
        <v>1</v>
      </c>
      <c r="N21" s="23">
        <f>'Sm Comm Cust Fcst'!G22</f>
        <v>1</v>
      </c>
      <c r="O21" s="23">
        <f>'Sm Comm Cust Fcst'!M22</f>
        <v>0</v>
      </c>
      <c r="P21" s="23">
        <f>'Sm Comm Cust Fcst'!T22</f>
        <v>0</v>
      </c>
      <c r="Q21" s="23">
        <f>'Sm Comm Cust Fcst'!AA22</f>
        <v>1</v>
      </c>
      <c r="R21" s="45">
        <f t="shared" si="1"/>
        <v>3</v>
      </c>
      <c r="S21" s="23">
        <f>'Sch AL-TOU Cust Fcst'!F20</f>
        <v>73</v>
      </c>
      <c r="T21" s="23">
        <f>'Sch AL-TOU Cust Fcst'!G20</f>
        <v>10</v>
      </c>
      <c r="U21" s="23">
        <f>'Sch AL-TOU Cust Fcst'!H20</f>
        <v>2</v>
      </c>
      <c r="V21" s="23">
        <f>'Sch DG-R Cust Fcst'!F20</f>
        <v>1</v>
      </c>
      <c r="W21" s="23">
        <f>'Sch DG-R Cust Fcst'!G20</f>
        <v>0</v>
      </c>
      <c r="X21" s="23">
        <f>'Sch A6-TOU Cust Fcst '!B20</f>
        <v>0</v>
      </c>
      <c r="Y21" s="23">
        <f>'Sch A6-TOU Cust Fcst '!C20</f>
        <v>0</v>
      </c>
      <c r="Z21" s="23">
        <f>'Sch OL-TOU Cust Fcst'!F20</f>
        <v>0</v>
      </c>
      <c r="AA21" s="45">
        <f t="shared" si="2"/>
        <v>86</v>
      </c>
      <c r="AB21" s="137">
        <f>'Sch PA-T-1 Cust Fcst'!F20</f>
        <v>4</v>
      </c>
      <c r="AC21" s="23">
        <f>'Sch PA-T-1 Cust Fcst'!G20</f>
        <v>0</v>
      </c>
      <c r="AD21" s="23">
        <f>'Sch TOU-PA Cust Fcst'!F20</f>
        <v>2</v>
      </c>
      <c r="AE21" s="23">
        <f>'Sch TOU-PA Cust Fcst'!G20</f>
        <v>1</v>
      </c>
      <c r="AF21" s="45">
        <f t="shared" si="3"/>
        <v>7</v>
      </c>
      <c r="AG21" s="165"/>
      <c r="AH21" s="165">
        <f t="shared" si="4"/>
        <v>99</v>
      </c>
      <c r="AJ21" s="137">
        <v>8</v>
      </c>
      <c r="AK21" s="23">
        <v>0</v>
      </c>
      <c r="AL21" s="45">
        <f t="shared" si="5"/>
        <v>8</v>
      </c>
      <c r="AM21" s="165"/>
      <c r="AN21" s="165">
        <f t="shared" si="6"/>
        <v>8</v>
      </c>
    </row>
    <row r="22" spans="1:40">
      <c r="A22" s="22" t="s">
        <v>14</v>
      </c>
      <c r="B22" s="137">
        <f>'Resid Cust Fcst '!H23</f>
        <v>0</v>
      </c>
      <c r="C22" s="23">
        <f>'Resid Cust Fcst '!O23</f>
        <v>0</v>
      </c>
      <c r="D22" s="23">
        <f>'Resid Cust Fcst '!V23</f>
        <v>0</v>
      </c>
      <c r="E22" s="23">
        <f>'Resid Cust Fcst '!AC23</f>
        <v>6</v>
      </c>
      <c r="F22" s="23">
        <f>'Resid Cust Fcst '!AJ23</f>
        <v>0</v>
      </c>
      <c r="G22" s="23">
        <f>'Resid Cust Fcst '!AQ23</f>
        <v>0</v>
      </c>
      <c r="H22" s="23">
        <f>'Resid Cust Fcst '!AX23</f>
        <v>0</v>
      </c>
      <c r="I22" s="23">
        <f>'Resid Cust Fcst '!BE23</f>
        <v>0</v>
      </c>
      <c r="J22" s="23">
        <f>'Resid Cust Fcst '!BL23</f>
        <v>0</v>
      </c>
      <c r="K22" s="23">
        <f>'Resid Cust Fcst '!BS23</f>
        <v>0</v>
      </c>
      <c r="L22" s="45">
        <f t="shared" si="0"/>
        <v>6</v>
      </c>
      <c r="M22" s="23">
        <f>'Sm Comm Cust Fcst'!F23</f>
        <v>2</v>
      </c>
      <c r="N22" s="23">
        <f>'Sm Comm Cust Fcst'!G23</f>
        <v>0</v>
      </c>
      <c r="O22" s="23">
        <f>'Sm Comm Cust Fcst'!M23</f>
        <v>0</v>
      </c>
      <c r="P22" s="23">
        <f>'Sm Comm Cust Fcst'!T23</f>
        <v>0</v>
      </c>
      <c r="Q22" s="23">
        <f>'Sm Comm Cust Fcst'!AA23</f>
        <v>0</v>
      </c>
      <c r="R22" s="45">
        <f t="shared" si="1"/>
        <v>2</v>
      </c>
      <c r="S22" s="23">
        <f>'Sch AL-TOU Cust Fcst'!F21</f>
        <v>116</v>
      </c>
      <c r="T22" s="23">
        <f>'Sch AL-TOU Cust Fcst'!G21</f>
        <v>24</v>
      </c>
      <c r="U22" s="23">
        <f>'Sch AL-TOU Cust Fcst'!H21</f>
        <v>1</v>
      </c>
      <c r="V22" s="23">
        <f>'Sch DG-R Cust Fcst'!F21</f>
        <v>2</v>
      </c>
      <c r="W22" s="23">
        <f>'Sch DG-R Cust Fcst'!G21</f>
        <v>0</v>
      </c>
      <c r="X22" s="23">
        <f>'Sch A6-TOU Cust Fcst '!B21</f>
        <v>0</v>
      </c>
      <c r="Y22" s="23">
        <f>'Sch A6-TOU Cust Fcst '!C21</f>
        <v>0</v>
      </c>
      <c r="Z22" s="23">
        <f>'Sch OL-TOU Cust Fcst'!F21</f>
        <v>0</v>
      </c>
      <c r="AA22" s="45">
        <f t="shared" si="2"/>
        <v>143</v>
      </c>
      <c r="AB22" s="137">
        <f>'Sch PA-T-1 Cust Fcst'!F21</f>
        <v>9</v>
      </c>
      <c r="AC22" s="23">
        <f>'Sch PA-T-1 Cust Fcst'!G21</f>
        <v>4</v>
      </c>
      <c r="AD22" s="23">
        <f>'Sch TOU-PA Cust Fcst'!F21</f>
        <v>1</v>
      </c>
      <c r="AE22" s="23">
        <f>'Sch TOU-PA Cust Fcst'!G21</f>
        <v>0</v>
      </c>
      <c r="AF22" s="45">
        <f t="shared" si="3"/>
        <v>14</v>
      </c>
      <c r="AG22" s="165"/>
      <c r="AH22" s="165">
        <f t="shared" si="4"/>
        <v>165</v>
      </c>
      <c r="AJ22" s="137">
        <v>11</v>
      </c>
      <c r="AK22" s="23">
        <v>6</v>
      </c>
      <c r="AL22" s="45">
        <f t="shared" si="5"/>
        <v>17</v>
      </c>
      <c r="AM22" s="165"/>
      <c r="AN22" s="165">
        <f t="shared" si="6"/>
        <v>17</v>
      </c>
    </row>
    <row r="23" spans="1:40">
      <c r="A23" s="22" t="s">
        <v>15</v>
      </c>
      <c r="B23" s="137">
        <f>'Resid Cust Fcst '!H24</f>
        <v>0</v>
      </c>
      <c r="C23" s="23">
        <f>'Resid Cust Fcst '!O24</f>
        <v>0</v>
      </c>
      <c r="D23" s="23">
        <f>'Resid Cust Fcst '!V24</f>
        <v>0</v>
      </c>
      <c r="E23" s="23">
        <f>'Resid Cust Fcst '!AC24</f>
        <v>3</v>
      </c>
      <c r="F23" s="23">
        <f>'Resid Cust Fcst '!AJ24</f>
        <v>0</v>
      </c>
      <c r="G23" s="23">
        <f>'Resid Cust Fcst '!AQ24</f>
        <v>0</v>
      </c>
      <c r="H23" s="23">
        <f>'Resid Cust Fcst '!AX24</f>
        <v>0</v>
      </c>
      <c r="I23" s="23">
        <f>'Resid Cust Fcst '!BE24</f>
        <v>0</v>
      </c>
      <c r="J23" s="23">
        <f>'Resid Cust Fcst '!BL24</f>
        <v>0</v>
      </c>
      <c r="K23" s="23">
        <f>'Resid Cust Fcst '!BS24</f>
        <v>0</v>
      </c>
      <c r="L23" s="45">
        <f t="shared" si="0"/>
        <v>3</v>
      </c>
      <c r="M23" s="23">
        <f>'Sm Comm Cust Fcst'!F24</f>
        <v>0</v>
      </c>
      <c r="N23" s="23">
        <f>'Sm Comm Cust Fcst'!G24</f>
        <v>0</v>
      </c>
      <c r="O23" s="23">
        <f>'Sm Comm Cust Fcst'!M24</f>
        <v>0</v>
      </c>
      <c r="P23" s="23">
        <f>'Sm Comm Cust Fcst'!T24</f>
        <v>0</v>
      </c>
      <c r="Q23" s="23">
        <f>'Sm Comm Cust Fcst'!AA24</f>
        <v>1</v>
      </c>
      <c r="R23" s="45">
        <f t="shared" si="1"/>
        <v>1</v>
      </c>
      <c r="S23" s="23">
        <f>'Sch AL-TOU Cust Fcst'!F22</f>
        <v>83</v>
      </c>
      <c r="T23" s="23">
        <f>'Sch AL-TOU Cust Fcst'!G22</f>
        <v>15</v>
      </c>
      <c r="U23" s="23">
        <f>'Sch AL-TOU Cust Fcst'!H22</f>
        <v>1</v>
      </c>
      <c r="V23" s="23">
        <f>'Sch DG-R Cust Fcst'!F22</f>
        <v>4</v>
      </c>
      <c r="W23" s="23">
        <f>'Sch DG-R Cust Fcst'!G22</f>
        <v>1</v>
      </c>
      <c r="X23" s="23">
        <f>'Sch A6-TOU Cust Fcst '!B22</f>
        <v>1</v>
      </c>
      <c r="Y23" s="23">
        <f>'Sch A6-TOU Cust Fcst '!C22</f>
        <v>0</v>
      </c>
      <c r="Z23" s="23">
        <f>'Sch OL-TOU Cust Fcst'!F22</f>
        <v>0</v>
      </c>
      <c r="AA23" s="45">
        <f t="shared" si="2"/>
        <v>105</v>
      </c>
      <c r="AB23" s="137">
        <f>'Sch PA-T-1 Cust Fcst'!F22</f>
        <v>5</v>
      </c>
      <c r="AC23" s="23">
        <f>'Sch PA-T-1 Cust Fcst'!G22</f>
        <v>1</v>
      </c>
      <c r="AD23" s="23">
        <f>'Sch TOU-PA Cust Fcst'!F22</f>
        <v>0</v>
      </c>
      <c r="AE23" s="23">
        <f>'Sch TOU-PA Cust Fcst'!G22</f>
        <v>0</v>
      </c>
      <c r="AF23" s="45">
        <f t="shared" si="3"/>
        <v>6</v>
      </c>
      <c r="AG23" s="165"/>
      <c r="AH23" s="165">
        <f t="shared" si="4"/>
        <v>115</v>
      </c>
      <c r="AJ23" s="137">
        <v>3</v>
      </c>
      <c r="AK23" s="23">
        <v>2</v>
      </c>
      <c r="AL23" s="45">
        <f t="shared" si="5"/>
        <v>5</v>
      </c>
      <c r="AM23" s="165"/>
      <c r="AN23" s="165">
        <f t="shared" si="6"/>
        <v>5</v>
      </c>
    </row>
    <row r="24" spans="1:40">
      <c r="A24" s="21" t="s">
        <v>16</v>
      </c>
      <c r="B24" s="137">
        <f>'Resid Cust Fcst '!H25</f>
        <v>0</v>
      </c>
      <c r="C24" s="23">
        <f>'Resid Cust Fcst '!O25</f>
        <v>0</v>
      </c>
      <c r="D24" s="23">
        <f>'Resid Cust Fcst '!V25</f>
        <v>0</v>
      </c>
      <c r="E24" s="23">
        <f>'Resid Cust Fcst '!AC25</f>
        <v>1</v>
      </c>
      <c r="F24" s="23">
        <f>'Resid Cust Fcst '!AJ25</f>
        <v>0</v>
      </c>
      <c r="G24" s="23">
        <f>'Resid Cust Fcst '!AQ25</f>
        <v>0</v>
      </c>
      <c r="H24" s="23">
        <f>'Resid Cust Fcst '!AX25</f>
        <v>0</v>
      </c>
      <c r="I24" s="23">
        <f>'Resid Cust Fcst '!BE25</f>
        <v>0</v>
      </c>
      <c r="J24" s="23">
        <f>'Resid Cust Fcst '!BL25</f>
        <v>0</v>
      </c>
      <c r="K24" s="23">
        <f>'Resid Cust Fcst '!BS25</f>
        <v>0</v>
      </c>
      <c r="L24" s="45">
        <f t="shared" si="0"/>
        <v>1</v>
      </c>
      <c r="M24" s="23">
        <f>'Sm Comm Cust Fcst'!F25</f>
        <v>0</v>
      </c>
      <c r="N24" s="23">
        <f>'Sm Comm Cust Fcst'!G25</f>
        <v>0</v>
      </c>
      <c r="O24" s="23">
        <f>'Sm Comm Cust Fcst'!M25</f>
        <v>0</v>
      </c>
      <c r="P24" s="23">
        <f>'Sm Comm Cust Fcst'!T25</f>
        <v>0</v>
      </c>
      <c r="Q24" s="23">
        <f>'Sm Comm Cust Fcst'!AA25</f>
        <v>0</v>
      </c>
      <c r="R24" s="45">
        <f t="shared" si="1"/>
        <v>0</v>
      </c>
      <c r="S24" s="23">
        <f>'Sch AL-TOU Cust Fcst'!F23</f>
        <v>70</v>
      </c>
      <c r="T24" s="23">
        <f>'Sch AL-TOU Cust Fcst'!G23</f>
        <v>10</v>
      </c>
      <c r="U24" s="23">
        <f>'Sch AL-TOU Cust Fcst'!H23</f>
        <v>0</v>
      </c>
      <c r="V24" s="23">
        <f>'Sch DG-R Cust Fcst'!F23</f>
        <v>0</v>
      </c>
      <c r="W24" s="23">
        <f>'Sch DG-R Cust Fcst'!G23</f>
        <v>1</v>
      </c>
      <c r="X24" s="23">
        <f>'Sch A6-TOU Cust Fcst '!B23</f>
        <v>1</v>
      </c>
      <c r="Y24" s="23">
        <f>'Sch A6-TOU Cust Fcst '!C23</f>
        <v>0</v>
      </c>
      <c r="Z24" s="23">
        <f>'Sch OL-TOU Cust Fcst'!F23</f>
        <v>0</v>
      </c>
      <c r="AA24" s="45">
        <f t="shared" si="2"/>
        <v>82</v>
      </c>
      <c r="AB24" s="137">
        <f>'Sch PA-T-1 Cust Fcst'!F23</f>
        <v>7</v>
      </c>
      <c r="AC24" s="23">
        <f>'Sch PA-T-1 Cust Fcst'!G23</f>
        <v>0</v>
      </c>
      <c r="AD24" s="23">
        <f>'Sch TOU-PA Cust Fcst'!F23</f>
        <v>0</v>
      </c>
      <c r="AE24" s="23">
        <f>'Sch TOU-PA Cust Fcst'!G23</f>
        <v>0</v>
      </c>
      <c r="AF24" s="45">
        <f t="shared" si="3"/>
        <v>7</v>
      </c>
      <c r="AG24" s="165"/>
      <c r="AH24" s="165">
        <f t="shared" si="4"/>
        <v>90</v>
      </c>
      <c r="AJ24" s="137">
        <v>0</v>
      </c>
      <c r="AK24" s="23">
        <v>1</v>
      </c>
      <c r="AL24" s="45">
        <f t="shared" si="5"/>
        <v>1</v>
      </c>
      <c r="AM24" s="165"/>
      <c r="AN24" s="165">
        <f t="shared" si="6"/>
        <v>1</v>
      </c>
    </row>
    <row r="25" spans="1:40">
      <c r="A25" s="22" t="s">
        <v>17</v>
      </c>
      <c r="B25" s="137">
        <f>'Resid Cust Fcst '!H26</f>
        <v>0</v>
      </c>
      <c r="C25" s="23">
        <f>'Resid Cust Fcst '!O26</f>
        <v>0</v>
      </c>
      <c r="D25" s="23">
        <f>'Resid Cust Fcst '!V26</f>
        <v>0</v>
      </c>
      <c r="E25" s="23">
        <f>'Resid Cust Fcst '!AC26</f>
        <v>5</v>
      </c>
      <c r="F25" s="23">
        <f>'Resid Cust Fcst '!AJ26</f>
        <v>0</v>
      </c>
      <c r="G25" s="23">
        <f>'Resid Cust Fcst '!AQ26</f>
        <v>0</v>
      </c>
      <c r="H25" s="23">
        <f>'Resid Cust Fcst '!AX26</f>
        <v>0</v>
      </c>
      <c r="I25" s="23">
        <f>'Resid Cust Fcst '!BE26</f>
        <v>0</v>
      </c>
      <c r="J25" s="23">
        <f>'Resid Cust Fcst '!BL26</f>
        <v>0</v>
      </c>
      <c r="K25" s="23">
        <f>'Resid Cust Fcst '!BS26</f>
        <v>0</v>
      </c>
      <c r="L25" s="45">
        <f t="shared" si="0"/>
        <v>5</v>
      </c>
      <c r="M25" s="23">
        <f>'Sm Comm Cust Fcst'!F26</f>
        <v>1</v>
      </c>
      <c r="N25" s="23">
        <f>'Sm Comm Cust Fcst'!G26</f>
        <v>0</v>
      </c>
      <c r="O25" s="23">
        <f>'Sm Comm Cust Fcst'!M26</f>
        <v>0</v>
      </c>
      <c r="P25" s="23">
        <f>'Sm Comm Cust Fcst'!T26</f>
        <v>0</v>
      </c>
      <c r="Q25" s="23">
        <f>'Sm Comm Cust Fcst'!AA26</f>
        <v>0</v>
      </c>
      <c r="R25" s="45">
        <f t="shared" si="1"/>
        <v>1</v>
      </c>
      <c r="S25" s="23">
        <f>'Sch AL-TOU Cust Fcst'!F24</f>
        <v>55</v>
      </c>
      <c r="T25" s="23">
        <f>'Sch AL-TOU Cust Fcst'!G24</f>
        <v>18</v>
      </c>
      <c r="U25" s="23">
        <f>'Sch AL-TOU Cust Fcst'!H24</f>
        <v>0</v>
      </c>
      <c r="V25" s="23">
        <f>'Sch DG-R Cust Fcst'!F24</f>
        <v>1</v>
      </c>
      <c r="W25" s="23">
        <f>'Sch DG-R Cust Fcst'!G24</f>
        <v>0</v>
      </c>
      <c r="X25" s="23">
        <f>'Sch A6-TOU Cust Fcst '!B24</f>
        <v>0</v>
      </c>
      <c r="Y25" s="23">
        <f>'Sch A6-TOU Cust Fcst '!C24</f>
        <v>0</v>
      </c>
      <c r="Z25" s="23">
        <f>'Sch OL-TOU Cust Fcst'!F24</f>
        <v>0</v>
      </c>
      <c r="AA25" s="45">
        <f t="shared" si="2"/>
        <v>74</v>
      </c>
      <c r="AB25" s="137">
        <f>'Sch PA-T-1 Cust Fcst'!F24</f>
        <v>7</v>
      </c>
      <c r="AC25" s="23">
        <f>'Sch PA-T-1 Cust Fcst'!G24</f>
        <v>3</v>
      </c>
      <c r="AD25" s="23">
        <f>'Sch TOU-PA Cust Fcst'!F24</f>
        <v>0</v>
      </c>
      <c r="AE25" s="23">
        <f>'Sch TOU-PA Cust Fcst'!G24</f>
        <v>0</v>
      </c>
      <c r="AF25" s="45">
        <f t="shared" si="3"/>
        <v>10</v>
      </c>
      <c r="AG25" s="165"/>
      <c r="AH25" s="165">
        <f t="shared" si="4"/>
        <v>90</v>
      </c>
      <c r="AJ25" s="137">
        <v>3</v>
      </c>
      <c r="AK25" s="23">
        <v>6</v>
      </c>
      <c r="AL25" s="45">
        <f t="shared" si="5"/>
        <v>9</v>
      </c>
      <c r="AM25" s="165"/>
      <c r="AN25" s="165">
        <f t="shared" si="6"/>
        <v>9</v>
      </c>
    </row>
    <row r="26" spans="1:40">
      <c r="A26" s="22" t="s">
        <v>18</v>
      </c>
      <c r="B26" s="137">
        <f>'Resid Cust Fcst '!H27</f>
        <v>0</v>
      </c>
      <c r="C26" s="23">
        <f>'Resid Cust Fcst '!O27</f>
        <v>0</v>
      </c>
      <c r="D26" s="23">
        <f>'Resid Cust Fcst '!V27</f>
        <v>0</v>
      </c>
      <c r="E26" s="23">
        <f>'Resid Cust Fcst '!AC27</f>
        <v>1</v>
      </c>
      <c r="F26" s="23">
        <f>'Resid Cust Fcst '!AJ27</f>
        <v>0</v>
      </c>
      <c r="G26" s="23">
        <f>'Resid Cust Fcst '!AQ27</f>
        <v>0</v>
      </c>
      <c r="H26" s="23">
        <f>'Resid Cust Fcst '!AX27</f>
        <v>0</v>
      </c>
      <c r="I26" s="23">
        <f>'Resid Cust Fcst '!BE27</f>
        <v>0</v>
      </c>
      <c r="J26" s="23">
        <f>'Resid Cust Fcst '!BL27</f>
        <v>0</v>
      </c>
      <c r="K26" s="23">
        <f>'Resid Cust Fcst '!BS27</f>
        <v>0</v>
      </c>
      <c r="L26" s="45">
        <f t="shared" si="0"/>
        <v>1</v>
      </c>
      <c r="M26" s="23">
        <f>'Sm Comm Cust Fcst'!F27</f>
        <v>1</v>
      </c>
      <c r="N26" s="23">
        <f>'Sm Comm Cust Fcst'!G27</f>
        <v>0</v>
      </c>
      <c r="O26" s="23">
        <f>'Sm Comm Cust Fcst'!M27</f>
        <v>0</v>
      </c>
      <c r="P26" s="23">
        <f>'Sm Comm Cust Fcst'!T27</f>
        <v>0</v>
      </c>
      <c r="Q26" s="23">
        <f>'Sm Comm Cust Fcst'!AA27</f>
        <v>1</v>
      </c>
      <c r="R26" s="45">
        <f t="shared" si="1"/>
        <v>2</v>
      </c>
      <c r="S26" s="23">
        <f>'Sch AL-TOU Cust Fcst'!F25</f>
        <v>29</v>
      </c>
      <c r="T26" s="23">
        <f>'Sch AL-TOU Cust Fcst'!G25</f>
        <v>11</v>
      </c>
      <c r="U26" s="23">
        <f>'Sch AL-TOU Cust Fcst'!H25</f>
        <v>0</v>
      </c>
      <c r="V26" s="23">
        <f>'Sch DG-R Cust Fcst'!F25</f>
        <v>0</v>
      </c>
      <c r="W26" s="23">
        <f>'Sch DG-R Cust Fcst'!G25</f>
        <v>0</v>
      </c>
      <c r="X26" s="23">
        <f>'Sch A6-TOU Cust Fcst '!B25</f>
        <v>1</v>
      </c>
      <c r="Y26" s="23">
        <f>'Sch A6-TOU Cust Fcst '!C25</f>
        <v>2</v>
      </c>
      <c r="Z26" s="23">
        <f>'Sch OL-TOU Cust Fcst'!F25</f>
        <v>0</v>
      </c>
      <c r="AA26" s="45">
        <f t="shared" si="2"/>
        <v>43</v>
      </c>
      <c r="AB26" s="137">
        <f>'Sch PA-T-1 Cust Fcst'!F25</f>
        <v>2</v>
      </c>
      <c r="AC26" s="23">
        <f>'Sch PA-T-1 Cust Fcst'!G25</f>
        <v>0</v>
      </c>
      <c r="AD26" s="23">
        <f>'Sch TOU-PA Cust Fcst'!F25</f>
        <v>1</v>
      </c>
      <c r="AE26" s="23">
        <f>'Sch TOU-PA Cust Fcst'!G25</f>
        <v>1</v>
      </c>
      <c r="AF26" s="45">
        <f t="shared" si="3"/>
        <v>4</v>
      </c>
      <c r="AG26" s="165"/>
      <c r="AH26" s="165">
        <f t="shared" si="4"/>
        <v>50</v>
      </c>
      <c r="AJ26" s="137">
        <v>1</v>
      </c>
      <c r="AK26" s="23">
        <v>1</v>
      </c>
      <c r="AL26" s="45">
        <f t="shared" si="5"/>
        <v>2</v>
      </c>
      <c r="AM26" s="165"/>
      <c r="AN26" s="165">
        <f t="shared" si="6"/>
        <v>2</v>
      </c>
    </row>
    <row r="27" spans="1:40">
      <c r="A27" s="22" t="s">
        <v>19</v>
      </c>
      <c r="B27" s="137">
        <f>'Resid Cust Fcst '!H28</f>
        <v>0</v>
      </c>
      <c r="C27" s="23">
        <f>'Resid Cust Fcst '!O28</f>
        <v>0</v>
      </c>
      <c r="D27" s="23">
        <f>'Resid Cust Fcst '!V28</f>
        <v>0</v>
      </c>
      <c r="E27" s="23">
        <f>'Resid Cust Fcst '!AC28</f>
        <v>0</v>
      </c>
      <c r="F27" s="23">
        <f>'Resid Cust Fcst '!AJ28</f>
        <v>0</v>
      </c>
      <c r="G27" s="23">
        <f>'Resid Cust Fcst '!AQ28</f>
        <v>0</v>
      </c>
      <c r="H27" s="23">
        <f>'Resid Cust Fcst '!AX28</f>
        <v>0</v>
      </c>
      <c r="I27" s="23">
        <f>'Resid Cust Fcst '!BE28</f>
        <v>0</v>
      </c>
      <c r="J27" s="23">
        <f>'Resid Cust Fcst '!BL28</f>
        <v>0</v>
      </c>
      <c r="K27" s="23">
        <f>'Resid Cust Fcst '!BS28</f>
        <v>0</v>
      </c>
      <c r="L27" s="45">
        <f t="shared" si="0"/>
        <v>0</v>
      </c>
      <c r="M27" s="23">
        <f>'Sm Comm Cust Fcst'!F28</f>
        <v>0</v>
      </c>
      <c r="N27" s="23">
        <f>'Sm Comm Cust Fcst'!G28</f>
        <v>0</v>
      </c>
      <c r="O27" s="23">
        <f>'Sm Comm Cust Fcst'!M28</f>
        <v>0</v>
      </c>
      <c r="P27" s="23">
        <f>'Sm Comm Cust Fcst'!T28</f>
        <v>0</v>
      </c>
      <c r="Q27" s="23">
        <f>'Sm Comm Cust Fcst'!AA28</f>
        <v>0</v>
      </c>
      <c r="R27" s="45">
        <f t="shared" si="1"/>
        <v>0</v>
      </c>
      <c r="S27" s="23">
        <f>'Sch AL-TOU Cust Fcst'!F26</f>
        <v>25</v>
      </c>
      <c r="T27" s="23">
        <f>'Sch AL-TOU Cust Fcst'!G26</f>
        <v>9</v>
      </c>
      <c r="U27" s="23">
        <f>'Sch AL-TOU Cust Fcst'!H26</f>
        <v>1</v>
      </c>
      <c r="V27" s="23">
        <f>'Sch DG-R Cust Fcst'!F26</f>
        <v>1</v>
      </c>
      <c r="W27" s="23">
        <f>'Sch DG-R Cust Fcst'!G26</f>
        <v>1</v>
      </c>
      <c r="X27" s="23">
        <f>'Sch A6-TOU Cust Fcst '!B26</f>
        <v>2</v>
      </c>
      <c r="Y27" s="23">
        <f>'Sch A6-TOU Cust Fcst '!C26</f>
        <v>1</v>
      </c>
      <c r="Z27" s="23">
        <f>'Sch OL-TOU Cust Fcst'!F26</f>
        <v>0</v>
      </c>
      <c r="AA27" s="45">
        <f t="shared" si="2"/>
        <v>40</v>
      </c>
      <c r="AB27" s="137">
        <f>'Sch PA-T-1 Cust Fcst'!F26</f>
        <v>0</v>
      </c>
      <c r="AC27" s="23">
        <f>'Sch PA-T-1 Cust Fcst'!G26</f>
        <v>1</v>
      </c>
      <c r="AD27" s="23">
        <f>'Sch TOU-PA Cust Fcst'!F26</f>
        <v>0</v>
      </c>
      <c r="AE27" s="23">
        <f>'Sch TOU-PA Cust Fcst'!G26</f>
        <v>0</v>
      </c>
      <c r="AF27" s="45">
        <f t="shared" si="3"/>
        <v>1</v>
      </c>
      <c r="AG27" s="165"/>
      <c r="AH27" s="165">
        <f t="shared" si="4"/>
        <v>41</v>
      </c>
      <c r="AJ27" s="137">
        <v>0</v>
      </c>
      <c r="AK27" s="23">
        <v>1</v>
      </c>
      <c r="AL27" s="45">
        <f t="shared" si="5"/>
        <v>1</v>
      </c>
      <c r="AM27" s="165"/>
      <c r="AN27" s="165">
        <f t="shared" si="6"/>
        <v>1</v>
      </c>
    </row>
    <row r="28" spans="1:40">
      <c r="A28" s="22" t="s">
        <v>20</v>
      </c>
      <c r="B28" s="137">
        <f>'Resid Cust Fcst '!H29</f>
        <v>0</v>
      </c>
      <c r="C28" s="23">
        <f>'Resid Cust Fcst '!O29</f>
        <v>0</v>
      </c>
      <c r="D28" s="23">
        <f>'Resid Cust Fcst '!V29</f>
        <v>0</v>
      </c>
      <c r="E28" s="23">
        <f>'Resid Cust Fcst '!AC29</f>
        <v>0</v>
      </c>
      <c r="F28" s="23">
        <f>'Resid Cust Fcst '!AJ29</f>
        <v>0</v>
      </c>
      <c r="G28" s="23">
        <f>'Resid Cust Fcst '!AQ29</f>
        <v>0</v>
      </c>
      <c r="H28" s="23">
        <f>'Resid Cust Fcst '!AX29</f>
        <v>0</v>
      </c>
      <c r="I28" s="23">
        <f>'Resid Cust Fcst '!BE29</f>
        <v>0</v>
      </c>
      <c r="J28" s="23">
        <f>'Resid Cust Fcst '!BL29</f>
        <v>0</v>
      </c>
      <c r="K28" s="23">
        <f>'Resid Cust Fcst '!BS29</f>
        <v>0</v>
      </c>
      <c r="L28" s="45">
        <f t="shared" si="0"/>
        <v>0</v>
      </c>
      <c r="M28" s="23">
        <f>'Sm Comm Cust Fcst'!F29</f>
        <v>0</v>
      </c>
      <c r="N28" s="23">
        <f>'Sm Comm Cust Fcst'!G29</f>
        <v>0</v>
      </c>
      <c r="O28" s="23">
        <f>'Sm Comm Cust Fcst'!M29</f>
        <v>0</v>
      </c>
      <c r="P28" s="23">
        <f>'Sm Comm Cust Fcst'!T29</f>
        <v>0</v>
      </c>
      <c r="Q28" s="23">
        <f>'Sm Comm Cust Fcst'!AA29</f>
        <v>0</v>
      </c>
      <c r="R28" s="45">
        <f t="shared" si="1"/>
        <v>0</v>
      </c>
      <c r="S28" s="23">
        <f>'Sch AL-TOU Cust Fcst'!F27</f>
        <v>5</v>
      </c>
      <c r="T28" s="23">
        <f>'Sch AL-TOU Cust Fcst'!G27</f>
        <v>20</v>
      </c>
      <c r="U28" s="23">
        <f>'Sch AL-TOU Cust Fcst'!H27</f>
        <v>0</v>
      </c>
      <c r="V28" s="23">
        <f>'Sch DG-R Cust Fcst'!F27</f>
        <v>0</v>
      </c>
      <c r="W28" s="23">
        <f>'Sch DG-R Cust Fcst'!G27</f>
        <v>0</v>
      </c>
      <c r="X28" s="23">
        <f>'Sch A6-TOU Cust Fcst '!B27</f>
        <v>1</v>
      </c>
      <c r="Y28" s="23">
        <f>'Sch A6-TOU Cust Fcst '!C27</f>
        <v>0</v>
      </c>
      <c r="Z28" s="23">
        <f>'Sch OL-TOU Cust Fcst'!F27</f>
        <v>0</v>
      </c>
      <c r="AA28" s="45">
        <f t="shared" si="2"/>
        <v>26</v>
      </c>
      <c r="AB28" s="137">
        <f>'Sch PA-T-1 Cust Fcst'!F27</f>
        <v>0</v>
      </c>
      <c r="AC28" s="23">
        <f>'Sch PA-T-1 Cust Fcst'!G27</f>
        <v>3</v>
      </c>
      <c r="AD28" s="23">
        <f>'Sch TOU-PA Cust Fcst'!F27</f>
        <v>0</v>
      </c>
      <c r="AE28" s="23">
        <f>'Sch TOU-PA Cust Fcst'!G27</f>
        <v>0</v>
      </c>
      <c r="AF28" s="45">
        <f t="shared" si="3"/>
        <v>3</v>
      </c>
      <c r="AG28" s="165"/>
      <c r="AH28" s="165">
        <f t="shared" si="4"/>
        <v>29</v>
      </c>
      <c r="AJ28" s="137">
        <v>0</v>
      </c>
      <c r="AK28" s="23">
        <v>0</v>
      </c>
      <c r="AL28" s="45">
        <f t="shared" si="5"/>
        <v>0</v>
      </c>
      <c r="AM28" s="165"/>
      <c r="AN28" s="165">
        <f t="shared" si="6"/>
        <v>0</v>
      </c>
    </row>
    <row r="29" spans="1:40">
      <c r="A29" s="22" t="s">
        <v>21</v>
      </c>
      <c r="B29" s="137">
        <f>'Resid Cust Fcst '!H30</f>
        <v>0</v>
      </c>
      <c r="C29" s="23">
        <f>'Resid Cust Fcst '!O30</f>
        <v>0</v>
      </c>
      <c r="D29" s="23">
        <f>'Resid Cust Fcst '!V30</f>
        <v>0</v>
      </c>
      <c r="E29" s="23">
        <f>'Resid Cust Fcst '!AC30</f>
        <v>0</v>
      </c>
      <c r="F29" s="23">
        <f>'Resid Cust Fcst '!AJ30</f>
        <v>0</v>
      </c>
      <c r="G29" s="23">
        <f>'Resid Cust Fcst '!AQ30</f>
        <v>0</v>
      </c>
      <c r="H29" s="23">
        <f>'Resid Cust Fcst '!AX30</f>
        <v>0</v>
      </c>
      <c r="I29" s="23">
        <f>'Resid Cust Fcst '!BE30</f>
        <v>0</v>
      </c>
      <c r="J29" s="23">
        <f>'Resid Cust Fcst '!BL30</f>
        <v>0</v>
      </c>
      <c r="K29" s="23">
        <f>'Resid Cust Fcst '!BS30</f>
        <v>0</v>
      </c>
      <c r="L29" s="45">
        <f t="shared" si="0"/>
        <v>0</v>
      </c>
      <c r="M29" s="23">
        <f>'Sm Comm Cust Fcst'!F30</f>
        <v>0</v>
      </c>
      <c r="N29" s="23">
        <f>'Sm Comm Cust Fcst'!G30</f>
        <v>0</v>
      </c>
      <c r="O29" s="23">
        <f>'Sm Comm Cust Fcst'!M30</f>
        <v>0</v>
      </c>
      <c r="P29" s="23">
        <f>'Sm Comm Cust Fcst'!T30</f>
        <v>0</v>
      </c>
      <c r="Q29" s="23">
        <f>'Sm Comm Cust Fcst'!AA30</f>
        <v>0</v>
      </c>
      <c r="R29" s="45">
        <f t="shared" si="1"/>
        <v>0</v>
      </c>
      <c r="S29" s="23">
        <f>'Sch AL-TOU Cust Fcst'!F28</f>
        <v>7</v>
      </c>
      <c r="T29" s="23">
        <f>'Sch AL-TOU Cust Fcst'!G28</f>
        <v>13</v>
      </c>
      <c r="U29" s="23">
        <f>'Sch AL-TOU Cust Fcst'!H28</f>
        <v>0</v>
      </c>
      <c r="V29" s="23">
        <f>'Sch DG-R Cust Fcst'!F28</f>
        <v>0</v>
      </c>
      <c r="W29" s="23">
        <f>'Sch DG-R Cust Fcst'!G28</f>
        <v>0</v>
      </c>
      <c r="X29" s="23">
        <f>'Sch A6-TOU Cust Fcst '!B28</f>
        <v>1</v>
      </c>
      <c r="Y29" s="23">
        <f>'Sch A6-TOU Cust Fcst '!C28</f>
        <v>0</v>
      </c>
      <c r="Z29" s="23">
        <f>'Sch OL-TOU Cust Fcst'!F28</f>
        <v>0</v>
      </c>
      <c r="AA29" s="45">
        <f t="shared" si="2"/>
        <v>21</v>
      </c>
      <c r="AB29" s="137">
        <f>'Sch PA-T-1 Cust Fcst'!F28</f>
        <v>0</v>
      </c>
      <c r="AC29" s="23">
        <f>'Sch PA-T-1 Cust Fcst'!G28</f>
        <v>1</v>
      </c>
      <c r="AD29" s="23">
        <f>'Sch TOU-PA Cust Fcst'!F28</f>
        <v>0</v>
      </c>
      <c r="AE29" s="23">
        <f>'Sch TOU-PA Cust Fcst'!G28</f>
        <v>0</v>
      </c>
      <c r="AF29" s="45">
        <f t="shared" si="3"/>
        <v>1</v>
      </c>
      <c r="AG29" s="165"/>
      <c r="AH29" s="165">
        <f t="shared" si="4"/>
        <v>22</v>
      </c>
      <c r="AJ29" s="137">
        <v>0</v>
      </c>
      <c r="AK29" s="23">
        <v>0</v>
      </c>
      <c r="AL29" s="45">
        <f t="shared" si="5"/>
        <v>0</v>
      </c>
      <c r="AM29" s="165"/>
      <c r="AN29" s="165">
        <f t="shared" si="6"/>
        <v>0</v>
      </c>
    </row>
    <row r="30" spans="1:40">
      <c r="A30" s="22" t="s">
        <v>22</v>
      </c>
      <c r="B30" s="137">
        <f>'Resid Cust Fcst '!H31</f>
        <v>0</v>
      </c>
      <c r="C30" s="23">
        <f>'Resid Cust Fcst '!O31</f>
        <v>0</v>
      </c>
      <c r="D30" s="23">
        <f>'Resid Cust Fcst '!V31</f>
        <v>0</v>
      </c>
      <c r="E30" s="23">
        <f>'Resid Cust Fcst '!AC31</f>
        <v>0</v>
      </c>
      <c r="F30" s="23">
        <f>'Resid Cust Fcst '!AJ31</f>
        <v>0</v>
      </c>
      <c r="G30" s="23">
        <f>'Resid Cust Fcst '!AQ31</f>
        <v>0</v>
      </c>
      <c r="H30" s="23">
        <f>'Resid Cust Fcst '!AX31</f>
        <v>0</v>
      </c>
      <c r="I30" s="23">
        <f>'Resid Cust Fcst '!BE31</f>
        <v>0</v>
      </c>
      <c r="J30" s="23">
        <f>'Resid Cust Fcst '!BL31</f>
        <v>0</v>
      </c>
      <c r="K30" s="23">
        <f>'Resid Cust Fcst '!BS31</f>
        <v>0</v>
      </c>
      <c r="L30" s="45">
        <f t="shared" si="0"/>
        <v>0</v>
      </c>
      <c r="M30" s="23">
        <f>'Sm Comm Cust Fcst'!F31</f>
        <v>0</v>
      </c>
      <c r="N30" s="23">
        <f>'Sm Comm Cust Fcst'!G31</f>
        <v>0</v>
      </c>
      <c r="O30" s="23">
        <f>'Sm Comm Cust Fcst'!M31</f>
        <v>0</v>
      </c>
      <c r="P30" s="23">
        <f>'Sm Comm Cust Fcst'!T31</f>
        <v>0</v>
      </c>
      <c r="Q30" s="23">
        <f>'Sm Comm Cust Fcst'!AA31</f>
        <v>0</v>
      </c>
      <c r="R30" s="45">
        <f t="shared" si="1"/>
        <v>0</v>
      </c>
      <c r="S30" s="23">
        <f>'Sch AL-TOU Cust Fcst'!F29</f>
        <v>2</v>
      </c>
      <c r="T30" s="23">
        <f>'Sch AL-TOU Cust Fcst'!G29</f>
        <v>10</v>
      </c>
      <c r="U30" s="23">
        <f>'Sch AL-TOU Cust Fcst'!H29</f>
        <v>0</v>
      </c>
      <c r="V30" s="23">
        <f>'Sch DG-R Cust Fcst'!F29</f>
        <v>0</v>
      </c>
      <c r="W30" s="23">
        <f>'Sch DG-R Cust Fcst'!G29</f>
        <v>0</v>
      </c>
      <c r="X30" s="23">
        <f>'Sch A6-TOU Cust Fcst '!B29</f>
        <v>2</v>
      </c>
      <c r="Y30" s="23">
        <f>'Sch A6-TOU Cust Fcst '!C29</f>
        <v>0</v>
      </c>
      <c r="Z30" s="23">
        <f>'Sch OL-TOU Cust Fcst'!F29</f>
        <v>0</v>
      </c>
      <c r="AA30" s="45">
        <f t="shared" si="2"/>
        <v>14</v>
      </c>
      <c r="AB30" s="137">
        <f>'Sch PA-T-1 Cust Fcst'!F29</f>
        <v>0</v>
      </c>
      <c r="AC30" s="23">
        <f>'Sch PA-T-1 Cust Fcst'!G29</f>
        <v>1</v>
      </c>
      <c r="AD30" s="23">
        <f>'Sch TOU-PA Cust Fcst'!F29</f>
        <v>0</v>
      </c>
      <c r="AE30" s="23">
        <f>'Sch TOU-PA Cust Fcst'!G29</f>
        <v>0</v>
      </c>
      <c r="AF30" s="45">
        <f t="shared" si="3"/>
        <v>1</v>
      </c>
      <c r="AG30" s="165"/>
      <c r="AH30" s="165">
        <f t="shared" si="4"/>
        <v>15</v>
      </c>
      <c r="AJ30" s="137">
        <v>0</v>
      </c>
      <c r="AK30" s="23">
        <v>0</v>
      </c>
      <c r="AL30" s="45">
        <f t="shared" si="5"/>
        <v>0</v>
      </c>
      <c r="AM30" s="165"/>
      <c r="AN30" s="165">
        <f t="shared" si="6"/>
        <v>0</v>
      </c>
    </row>
    <row r="31" spans="1:40">
      <c r="A31" s="22" t="s">
        <v>23</v>
      </c>
      <c r="B31" s="137">
        <f>'Resid Cust Fcst '!H32</f>
        <v>0</v>
      </c>
      <c r="C31" s="23">
        <f>'Resid Cust Fcst '!O32</f>
        <v>0</v>
      </c>
      <c r="D31" s="23">
        <f>'Resid Cust Fcst '!V32</f>
        <v>0</v>
      </c>
      <c r="E31" s="23">
        <f>'Resid Cust Fcst '!AC32</f>
        <v>0</v>
      </c>
      <c r="F31" s="23">
        <f>'Resid Cust Fcst '!AJ32</f>
        <v>0</v>
      </c>
      <c r="G31" s="23">
        <f>'Resid Cust Fcst '!AQ32</f>
        <v>0</v>
      </c>
      <c r="H31" s="23">
        <f>'Resid Cust Fcst '!AX32</f>
        <v>0</v>
      </c>
      <c r="I31" s="23">
        <f>'Resid Cust Fcst '!BE32</f>
        <v>0</v>
      </c>
      <c r="J31" s="23">
        <f>'Resid Cust Fcst '!BL32</f>
        <v>0</v>
      </c>
      <c r="K31" s="23">
        <f>'Resid Cust Fcst '!BS32</f>
        <v>0</v>
      </c>
      <c r="L31" s="45">
        <f t="shared" si="0"/>
        <v>0</v>
      </c>
      <c r="M31" s="23">
        <f>'Sm Comm Cust Fcst'!F32</f>
        <v>0</v>
      </c>
      <c r="N31" s="23">
        <f>'Sm Comm Cust Fcst'!G32</f>
        <v>0</v>
      </c>
      <c r="O31" s="23">
        <f>'Sm Comm Cust Fcst'!M32</f>
        <v>0</v>
      </c>
      <c r="P31" s="23">
        <f>'Sm Comm Cust Fcst'!T32</f>
        <v>0</v>
      </c>
      <c r="Q31" s="23">
        <f>'Sm Comm Cust Fcst'!AA32</f>
        <v>0</v>
      </c>
      <c r="R31" s="45">
        <f t="shared" si="1"/>
        <v>0</v>
      </c>
      <c r="S31" s="23">
        <f>'Sch AL-TOU Cust Fcst'!F30</f>
        <v>3</v>
      </c>
      <c r="T31" s="23">
        <f>'Sch AL-TOU Cust Fcst'!G30</f>
        <v>17</v>
      </c>
      <c r="U31" s="23">
        <f>'Sch AL-TOU Cust Fcst'!H30</f>
        <v>1</v>
      </c>
      <c r="V31" s="23">
        <f>'Sch DG-R Cust Fcst'!F30</f>
        <v>0</v>
      </c>
      <c r="W31" s="23">
        <f>'Sch DG-R Cust Fcst'!G30</f>
        <v>0</v>
      </c>
      <c r="X31" s="23">
        <f>'Sch A6-TOU Cust Fcst '!B30</f>
        <v>0</v>
      </c>
      <c r="Y31" s="23">
        <f>'Sch A6-TOU Cust Fcst '!C30</f>
        <v>0</v>
      </c>
      <c r="Z31" s="23">
        <f>'Sch OL-TOU Cust Fcst'!F30</f>
        <v>0</v>
      </c>
      <c r="AA31" s="45">
        <f t="shared" si="2"/>
        <v>21</v>
      </c>
      <c r="AB31" s="137">
        <f>'Sch PA-T-1 Cust Fcst'!F30</f>
        <v>0</v>
      </c>
      <c r="AC31" s="23">
        <f>'Sch PA-T-1 Cust Fcst'!G30</f>
        <v>2</v>
      </c>
      <c r="AD31" s="23">
        <f>'Sch TOU-PA Cust Fcst'!F30</f>
        <v>0</v>
      </c>
      <c r="AE31" s="23">
        <f>'Sch TOU-PA Cust Fcst'!G30</f>
        <v>1</v>
      </c>
      <c r="AF31" s="45">
        <f t="shared" si="3"/>
        <v>3</v>
      </c>
      <c r="AG31" s="165"/>
      <c r="AH31" s="165">
        <f t="shared" si="4"/>
        <v>24</v>
      </c>
      <c r="AJ31" s="137">
        <v>0</v>
      </c>
      <c r="AK31" s="23">
        <v>0</v>
      </c>
      <c r="AL31" s="45">
        <f t="shared" si="5"/>
        <v>0</v>
      </c>
      <c r="AM31" s="165"/>
      <c r="AN31" s="165">
        <f t="shared" si="6"/>
        <v>0</v>
      </c>
    </row>
    <row r="32" spans="1:40">
      <c r="A32" s="22" t="s">
        <v>24</v>
      </c>
      <c r="B32" s="137">
        <f>'Resid Cust Fcst '!H33</f>
        <v>0</v>
      </c>
      <c r="C32" s="23">
        <f>'Resid Cust Fcst '!O33</f>
        <v>0</v>
      </c>
      <c r="D32" s="23">
        <f>'Resid Cust Fcst '!V33</f>
        <v>0</v>
      </c>
      <c r="E32" s="23">
        <f>'Resid Cust Fcst '!AC33</f>
        <v>0</v>
      </c>
      <c r="F32" s="23">
        <f>'Resid Cust Fcst '!AJ33</f>
        <v>0</v>
      </c>
      <c r="G32" s="23">
        <f>'Resid Cust Fcst '!AQ33</f>
        <v>0</v>
      </c>
      <c r="H32" s="23">
        <f>'Resid Cust Fcst '!AX33</f>
        <v>0</v>
      </c>
      <c r="I32" s="23">
        <f>'Resid Cust Fcst '!BE33</f>
        <v>0</v>
      </c>
      <c r="J32" s="23">
        <f>'Resid Cust Fcst '!BL33</f>
        <v>0</v>
      </c>
      <c r="K32" s="23">
        <f>'Resid Cust Fcst '!BS33</f>
        <v>0</v>
      </c>
      <c r="L32" s="45">
        <f t="shared" si="0"/>
        <v>0</v>
      </c>
      <c r="M32" s="23">
        <f>'Sm Comm Cust Fcst'!F33</f>
        <v>0</v>
      </c>
      <c r="N32" s="23">
        <f>'Sm Comm Cust Fcst'!G33</f>
        <v>0</v>
      </c>
      <c r="O32" s="23">
        <f>'Sm Comm Cust Fcst'!M33</f>
        <v>0</v>
      </c>
      <c r="P32" s="23">
        <f>'Sm Comm Cust Fcst'!T33</f>
        <v>0</v>
      </c>
      <c r="Q32" s="23">
        <f>'Sm Comm Cust Fcst'!AA33</f>
        <v>0</v>
      </c>
      <c r="R32" s="45">
        <f t="shared" si="1"/>
        <v>0</v>
      </c>
      <c r="S32" s="23">
        <f>'Sch AL-TOU Cust Fcst'!F31</f>
        <v>2</v>
      </c>
      <c r="T32" s="23">
        <f>'Sch AL-TOU Cust Fcst'!G31</f>
        <v>2</v>
      </c>
      <c r="U32" s="23">
        <f>'Sch AL-TOU Cust Fcst'!H31</f>
        <v>1</v>
      </c>
      <c r="V32" s="23">
        <f>'Sch DG-R Cust Fcst'!F31</f>
        <v>0</v>
      </c>
      <c r="W32" s="23">
        <f>'Sch DG-R Cust Fcst'!G31</f>
        <v>0</v>
      </c>
      <c r="X32" s="23">
        <f>'Sch A6-TOU Cust Fcst '!B31</f>
        <v>0</v>
      </c>
      <c r="Y32" s="23">
        <f>'Sch A6-TOU Cust Fcst '!C31</f>
        <v>0</v>
      </c>
      <c r="Z32" s="23">
        <f>'Sch OL-TOU Cust Fcst'!F31</f>
        <v>0</v>
      </c>
      <c r="AA32" s="45">
        <f t="shared" si="2"/>
        <v>5</v>
      </c>
      <c r="AB32" s="137">
        <f>'Sch PA-T-1 Cust Fcst'!F31</f>
        <v>0</v>
      </c>
      <c r="AC32" s="23">
        <f>'Sch PA-T-1 Cust Fcst'!G31</f>
        <v>2</v>
      </c>
      <c r="AD32" s="23">
        <f>'Sch TOU-PA Cust Fcst'!F31</f>
        <v>0</v>
      </c>
      <c r="AE32" s="23">
        <f>'Sch TOU-PA Cust Fcst'!G31</f>
        <v>0</v>
      </c>
      <c r="AF32" s="45">
        <f t="shared" si="3"/>
        <v>2</v>
      </c>
      <c r="AG32" s="165"/>
      <c r="AH32" s="165">
        <f t="shared" si="4"/>
        <v>7</v>
      </c>
      <c r="AJ32" s="137">
        <v>0</v>
      </c>
      <c r="AK32" s="23">
        <v>0</v>
      </c>
      <c r="AL32" s="45">
        <f t="shared" si="5"/>
        <v>0</v>
      </c>
      <c r="AM32" s="165"/>
      <c r="AN32" s="165">
        <f t="shared" si="6"/>
        <v>0</v>
      </c>
    </row>
    <row r="33" spans="1:40">
      <c r="A33" s="21" t="s">
        <v>25</v>
      </c>
      <c r="B33" s="137">
        <f>'Resid Cust Fcst '!H34</f>
        <v>0</v>
      </c>
      <c r="C33" s="23">
        <f>'Resid Cust Fcst '!O34</f>
        <v>0</v>
      </c>
      <c r="D33" s="23">
        <f>'Resid Cust Fcst '!V34</f>
        <v>0</v>
      </c>
      <c r="E33" s="23">
        <f>'Resid Cust Fcst '!AC34</f>
        <v>0</v>
      </c>
      <c r="F33" s="23">
        <f>'Resid Cust Fcst '!AJ34</f>
        <v>0</v>
      </c>
      <c r="G33" s="23">
        <f>'Resid Cust Fcst '!AQ34</f>
        <v>0</v>
      </c>
      <c r="H33" s="23">
        <f>'Resid Cust Fcst '!AX34</f>
        <v>0</v>
      </c>
      <c r="I33" s="23">
        <f>'Resid Cust Fcst '!BE34</f>
        <v>0</v>
      </c>
      <c r="J33" s="23">
        <f>'Resid Cust Fcst '!BL34</f>
        <v>0</v>
      </c>
      <c r="K33" s="23">
        <f>'Resid Cust Fcst '!BS34</f>
        <v>0</v>
      </c>
      <c r="L33" s="45">
        <f t="shared" si="0"/>
        <v>0</v>
      </c>
      <c r="M33" s="23">
        <f>'Sm Comm Cust Fcst'!F34</f>
        <v>0</v>
      </c>
      <c r="N33" s="23">
        <f>'Sm Comm Cust Fcst'!G34</f>
        <v>0</v>
      </c>
      <c r="O33" s="23">
        <f>'Sm Comm Cust Fcst'!M34</f>
        <v>0</v>
      </c>
      <c r="P33" s="23">
        <f>'Sm Comm Cust Fcst'!T34</f>
        <v>0</v>
      </c>
      <c r="Q33" s="23">
        <f>'Sm Comm Cust Fcst'!AA34</f>
        <v>0</v>
      </c>
      <c r="R33" s="45">
        <f t="shared" si="1"/>
        <v>0</v>
      </c>
      <c r="S33" s="23">
        <f>'Sch AL-TOU Cust Fcst'!F32</f>
        <v>2</v>
      </c>
      <c r="T33" s="23">
        <f>'Sch AL-TOU Cust Fcst'!G32</f>
        <v>9</v>
      </c>
      <c r="U33" s="23">
        <f>'Sch AL-TOU Cust Fcst'!H32</f>
        <v>0</v>
      </c>
      <c r="V33" s="23">
        <f>'Sch DG-R Cust Fcst'!F32</f>
        <v>0</v>
      </c>
      <c r="W33" s="23">
        <f>'Sch DG-R Cust Fcst'!G32</f>
        <v>0</v>
      </c>
      <c r="X33" s="23">
        <f>'Sch A6-TOU Cust Fcst '!B32</f>
        <v>2</v>
      </c>
      <c r="Y33" s="23">
        <f>'Sch A6-TOU Cust Fcst '!C32</f>
        <v>0</v>
      </c>
      <c r="Z33" s="23">
        <f>'Sch OL-TOU Cust Fcst'!F32</f>
        <v>0</v>
      </c>
      <c r="AA33" s="45">
        <f t="shared" si="2"/>
        <v>13</v>
      </c>
      <c r="AB33" s="137">
        <f>'Sch PA-T-1 Cust Fcst'!F32</f>
        <v>0</v>
      </c>
      <c r="AC33" s="23">
        <f>'Sch PA-T-1 Cust Fcst'!G32</f>
        <v>0</v>
      </c>
      <c r="AD33" s="23">
        <f>'Sch TOU-PA Cust Fcst'!F32</f>
        <v>0</v>
      </c>
      <c r="AE33" s="23">
        <f>'Sch TOU-PA Cust Fcst'!G32</f>
        <v>0</v>
      </c>
      <c r="AF33" s="45">
        <f t="shared" si="3"/>
        <v>0</v>
      </c>
      <c r="AG33" s="165"/>
      <c r="AH33" s="165">
        <f t="shared" si="4"/>
        <v>13</v>
      </c>
      <c r="AJ33" s="137">
        <v>0</v>
      </c>
      <c r="AK33" s="23">
        <v>0</v>
      </c>
      <c r="AL33" s="45">
        <f t="shared" si="5"/>
        <v>0</v>
      </c>
      <c r="AM33" s="165"/>
      <c r="AN33" s="165">
        <f t="shared" si="6"/>
        <v>0</v>
      </c>
    </row>
    <row r="34" spans="1:40">
      <c r="A34" s="21" t="s">
        <v>125</v>
      </c>
      <c r="B34" s="137">
        <f>'Resid Cust Fcst '!H35</f>
        <v>0</v>
      </c>
      <c r="C34" s="23">
        <f>'Resid Cust Fcst '!O35</f>
        <v>0</v>
      </c>
      <c r="D34" s="23">
        <f>'Resid Cust Fcst '!V35</f>
        <v>0</v>
      </c>
      <c r="E34" s="23">
        <f>'Resid Cust Fcst '!AC35</f>
        <v>0</v>
      </c>
      <c r="F34" s="23">
        <f>'Resid Cust Fcst '!AJ35</f>
        <v>0</v>
      </c>
      <c r="G34" s="23">
        <f>'Resid Cust Fcst '!AQ35</f>
        <v>0</v>
      </c>
      <c r="H34" s="23">
        <f>'Resid Cust Fcst '!AX35</f>
        <v>0</v>
      </c>
      <c r="I34" s="23">
        <f>'Resid Cust Fcst '!BE35</f>
        <v>0</v>
      </c>
      <c r="J34" s="23">
        <f>'Resid Cust Fcst '!BL35</f>
        <v>0</v>
      </c>
      <c r="K34" s="23">
        <f>'Resid Cust Fcst '!BS35</f>
        <v>0</v>
      </c>
      <c r="L34" s="45">
        <f t="shared" si="0"/>
        <v>0</v>
      </c>
      <c r="M34" s="23">
        <f>'Sm Comm Cust Fcst'!F35</f>
        <v>0</v>
      </c>
      <c r="N34" s="23">
        <f>'Sm Comm Cust Fcst'!G35</f>
        <v>0</v>
      </c>
      <c r="O34" s="23">
        <f>'Sm Comm Cust Fcst'!M35</f>
        <v>0</v>
      </c>
      <c r="P34" s="23">
        <f>'Sm Comm Cust Fcst'!T35</f>
        <v>0</v>
      </c>
      <c r="Q34" s="23">
        <f>'Sm Comm Cust Fcst'!AA35</f>
        <v>0</v>
      </c>
      <c r="R34" s="45">
        <f t="shared" si="1"/>
        <v>0</v>
      </c>
      <c r="S34" s="23">
        <f>'Sch AL-TOU Cust Fcst'!F33</f>
        <v>2</v>
      </c>
      <c r="T34" s="23">
        <f>'Sch AL-TOU Cust Fcst'!G33</f>
        <v>19</v>
      </c>
      <c r="U34" s="23">
        <f>'Sch AL-TOU Cust Fcst'!H33</f>
        <v>3</v>
      </c>
      <c r="V34" s="23">
        <f>'Sch DG-R Cust Fcst'!F33</f>
        <v>0</v>
      </c>
      <c r="W34" s="23">
        <f>'Sch DG-R Cust Fcst'!G33</f>
        <v>0</v>
      </c>
      <c r="X34" s="23">
        <f>'Sch A6-TOU Cust Fcst '!B33</f>
        <v>2</v>
      </c>
      <c r="Y34" s="23">
        <f>'Sch A6-TOU Cust Fcst '!C33</f>
        <v>1</v>
      </c>
      <c r="Z34" s="23">
        <f>'Sch OL-TOU Cust Fcst'!F33</f>
        <v>0</v>
      </c>
      <c r="AA34" s="45">
        <f t="shared" si="2"/>
        <v>27</v>
      </c>
      <c r="AB34" s="137">
        <f>'Sch PA-T-1 Cust Fcst'!F33</f>
        <v>0</v>
      </c>
      <c r="AC34" s="23">
        <f>'Sch PA-T-1 Cust Fcst'!G33</f>
        <v>0</v>
      </c>
      <c r="AD34" s="23">
        <f>'Sch TOU-PA Cust Fcst'!F33</f>
        <v>0</v>
      </c>
      <c r="AE34" s="23">
        <f>'Sch TOU-PA Cust Fcst'!G33</f>
        <v>0</v>
      </c>
      <c r="AF34" s="45">
        <f t="shared" si="3"/>
        <v>0</v>
      </c>
      <c r="AG34" s="165"/>
      <c r="AH34" s="165">
        <f t="shared" si="4"/>
        <v>27</v>
      </c>
      <c r="AJ34" s="137">
        <v>0</v>
      </c>
      <c r="AK34" s="23">
        <v>0</v>
      </c>
      <c r="AL34" s="45">
        <f t="shared" si="5"/>
        <v>0</v>
      </c>
      <c r="AM34" s="165"/>
      <c r="AN34" s="165">
        <f t="shared" si="6"/>
        <v>0</v>
      </c>
    </row>
    <row r="35" spans="1:40">
      <c r="A35" s="21" t="s">
        <v>126</v>
      </c>
      <c r="B35" s="137">
        <f>'Resid Cust Fcst '!H36</f>
        <v>0</v>
      </c>
      <c r="C35" s="23">
        <f>'Resid Cust Fcst '!O36</f>
        <v>0</v>
      </c>
      <c r="D35" s="23">
        <f>'Resid Cust Fcst '!V36</f>
        <v>0</v>
      </c>
      <c r="E35" s="23">
        <f>'Resid Cust Fcst '!AC36</f>
        <v>0</v>
      </c>
      <c r="F35" s="23">
        <f>'Resid Cust Fcst '!AJ36</f>
        <v>0</v>
      </c>
      <c r="G35" s="23">
        <f>'Resid Cust Fcst '!AQ36</f>
        <v>0</v>
      </c>
      <c r="H35" s="23">
        <f>'Resid Cust Fcst '!AX36</f>
        <v>0</v>
      </c>
      <c r="I35" s="23">
        <f>'Resid Cust Fcst '!BE36</f>
        <v>0</v>
      </c>
      <c r="J35" s="23">
        <f>'Resid Cust Fcst '!BL36</f>
        <v>0</v>
      </c>
      <c r="K35" s="23">
        <f>'Resid Cust Fcst '!BS36</f>
        <v>0</v>
      </c>
      <c r="L35" s="45">
        <f t="shared" si="0"/>
        <v>0</v>
      </c>
      <c r="M35" s="23">
        <f>'Sm Comm Cust Fcst'!F36</f>
        <v>0</v>
      </c>
      <c r="N35" s="23">
        <f>'Sm Comm Cust Fcst'!G36</f>
        <v>1</v>
      </c>
      <c r="O35" s="23">
        <f>'Sm Comm Cust Fcst'!M36</f>
        <v>0</v>
      </c>
      <c r="P35" s="23">
        <f>'Sm Comm Cust Fcst'!T36</f>
        <v>0</v>
      </c>
      <c r="Q35" s="23">
        <f>'Sm Comm Cust Fcst'!AA36</f>
        <v>0</v>
      </c>
      <c r="R35" s="45">
        <f t="shared" si="1"/>
        <v>1</v>
      </c>
      <c r="S35" s="23">
        <f>'Sch AL-TOU Cust Fcst'!F34</f>
        <v>0</v>
      </c>
      <c r="T35" s="23">
        <f>'Sch AL-TOU Cust Fcst'!G34</f>
        <v>1</v>
      </c>
      <c r="U35" s="23">
        <f>'Sch AL-TOU Cust Fcst'!H34</f>
        <v>0</v>
      </c>
      <c r="V35" s="23">
        <f>'Sch DG-R Cust Fcst'!F34</f>
        <v>0</v>
      </c>
      <c r="W35" s="23">
        <f>'Sch DG-R Cust Fcst'!G34</f>
        <v>0</v>
      </c>
      <c r="X35" s="23">
        <f>'Sch A6-TOU Cust Fcst '!B34</f>
        <v>0</v>
      </c>
      <c r="Y35" s="23">
        <f>'Sch A6-TOU Cust Fcst '!C34</f>
        <v>1</v>
      </c>
      <c r="Z35" s="23">
        <f>'Sch OL-TOU Cust Fcst'!F34</f>
        <v>0</v>
      </c>
      <c r="AA35" s="45">
        <f t="shared" si="2"/>
        <v>2</v>
      </c>
      <c r="AB35" s="137">
        <f>'Sch PA-T-1 Cust Fcst'!F34</f>
        <v>0</v>
      </c>
      <c r="AC35" s="23">
        <f>'Sch PA-T-1 Cust Fcst'!G34</f>
        <v>0</v>
      </c>
      <c r="AD35" s="23">
        <f>'Sch TOU-PA Cust Fcst'!F34</f>
        <v>0</v>
      </c>
      <c r="AE35" s="23">
        <f>'Sch TOU-PA Cust Fcst'!G34</f>
        <v>0</v>
      </c>
      <c r="AF35" s="45">
        <f t="shared" si="3"/>
        <v>0</v>
      </c>
      <c r="AG35" s="165"/>
      <c r="AH35" s="165">
        <f t="shared" si="4"/>
        <v>3</v>
      </c>
      <c r="AJ35" s="137">
        <v>0</v>
      </c>
      <c r="AK35" s="23">
        <v>0</v>
      </c>
      <c r="AL35" s="45">
        <f t="shared" si="5"/>
        <v>0</v>
      </c>
      <c r="AM35" s="165"/>
      <c r="AN35" s="165">
        <f t="shared" si="6"/>
        <v>0</v>
      </c>
    </row>
    <row r="36" spans="1:40">
      <c r="A36" s="21" t="s">
        <v>26</v>
      </c>
      <c r="B36" s="137">
        <f>'Resid Cust Fcst '!H37</f>
        <v>0</v>
      </c>
      <c r="C36" s="23">
        <f>'Resid Cust Fcst '!O37</f>
        <v>0</v>
      </c>
      <c r="D36" s="23">
        <f>'Resid Cust Fcst '!V37</f>
        <v>0</v>
      </c>
      <c r="E36" s="23">
        <f>'Resid Cust Fcst '!AC37</f>
        <v>0</v>
      </c>
      <c r="F36" s="23">
        <f>'Resid Cust Fcst '!AJ37</f>
        <v>0</v>
      </c>
      <c r="G36" s="23">
        <f>'Resid Cust Fcst '!AQ37</f>
        <v>0</v>
      </c>
      <c r="H36" s="23">
        <f>'Resid Cust Fcst '!AX37</f>
        <v>0</v>
      </c>
      <c r="I36" s="23">
        <f>'Resid Cust Fcst '!BE37</f>
        <v>0</v>
      </c>
      <c r="J36" s="23">
        <f>'Resid Cust Fcst '!BL37</f>
        <v>0</v>
      </c>
      <c r="K36" s="23">
        <f>'Resid Cust Fcst '!BS37</f>
        <v>0</v>
      </c>
      <c r="L36" s="45">
        <f t="shared" si="0"/>
        <v>0</v>
      </c>
      <c r="M36" s="23">
        <f>'Sm Comm Cust Fcst'!F37</f>
        <v>0</v>
      </c>
      <c r="N36" s="23">
        <f>'Sm Comm Cust Fcst'!G37</f>
        <v>0</v>
      </c>
      <c r="O36" s="23">
        <f>'Sm Comm Cust Fcst'!M37</f>
        <v>0</v>
      </c>
      <c r="P36" s="23">
        <f>'Sm Comm Cust Fcst'!T37</f>
        <v>0</v>
      </c>
      <c r="Q36" s="23">
        <f>'Sm Comm Cust Fcst'!AA37</f>
        <v>0</v>
      </c>
      <c r="R36" s="45">
        <f t="shared" si="1"/>
        <v>0</v>
      </c>
      <c r="S36" s="23">
        <f>'Sch AL-TOU Cust Fcst'!F35</f>
        <v>0</v>
      </c>
      <c r="T36" s="23">
        <f>'Sch AL-TOU Cust Fcst'!G35</f>
        <v>2</v>
      </c>
      <c r="U36" s="23">
        <f>'Sch AL-TOU Cust Fcst'!H35</f>
        <v>1</v>
      </c>
      <c r="V36" s="23">
        <f>'Sch DG-R Cust Fcst'!F35</f>
        <v>0</v>
      </c>
      <c r="W36" s="23">
        <f>'Sch DG-R Cust Fcst'!G35</f>
        <v>0</v>
      </c>
      <c r="X36" s="23">
        <f>'Sch A6-TOU Cust Fcst '!B35</f>
        <v>0</v>
      </c>
      <c r="Y36" s="23">
        <f>'Sch A6-TOU Cust Fcst '!C35</f>
        <v>1</v>
      </c>
      <c r="Z36" s="23">
        <f>'Sch OL-TOU Cust Fcst'!F35</f>
        <v>0</v>
      </c>
      <c r="AA36" s="45">
        <f t="shared" si="2"/>
        <v>4</v>
      </c>
      <c r="AB36" s="137">
        <f>'Sch PA-T-1 Cust Fcst'!F35</f>
        <v>0</v>
      </c>
      <c r="AC36" s="23">
        <f>'Sch PA-T-1 Cust Fcst'!G35</f>
        <v>0</v>
      </c>
      <c r="AD36" s="23">
        <f>'Sch TOU-PA Cust Fcst'!F35</f>
        <v>0</v>
      </c>
      <c r="AE36" s="23">
        <f>'Sch TOU-PA Cust Fcst'!G35</f>
        <v>0</v>
      </c>
      <c r="AF36" s="45">
        <f t="shared" si="3"/>
        <v>0</v>
      </c>
      <c r="AG36" s="165"/>
      <c r="AH36" s="165">
        <f t="shared" si="4"/>
        <v>4</v>
      </c>
      <c r="AJ36" s="137">
        <v>0</v>
      </c>
      <c r="AK36" s="23">
        <v>0</v>
      </c>
      <c r="AL36" s="45">
        <f t="shared" si="5"/>
        <v>0</v>
      </c>
      <c r="AM36" s="165"/>
      <c r="AN36" s="165">
        <f t="shared" si="6"/>
        <v>0</v>
      </c>
    </row>
    <row r="37" spans="1:40">
      <c r="A37" s="21" t="s">
        <v>27</v>
      </c>
      <c r="B37" s="137">
        <f>'Resid Cust Fcst '!H38</f>
        <v>0</v>
      </c>
      <c r="C37" s="23">
        <f>'Resid Cust Fcst '!O38</f>
        <v>0</v>
      </c>
      <c r="D37" s="23">
        <f>'Resid Cust Fcst '!V38</f>
        <v>0</v>
      </c>
      <c r="E37" s="23">
        <f>'Resid Cust Fcst '!AC38</f>
        <v>0</v>
      </c>
      <c r="F37" s="23">
        <f>'Resid Cust Fcst '!AJ38</f>
        <v>0</v>
      </c>
      <c r="G37" s="23">
        <f>'Resid Cust Fcst '!AQ38</f>
        <v>0</v>
      </c>
      <c r="H37" s="23">
        <f>'Resid Cust Fcst '!AX38</f>
        <v>0</v>
      </c>
      <c r="I37" s="23">
        <f>'Resid Cust Fcst '!BE38</f>
        <v>0</v>
      </c>
      <c r="J37" s="23">
        <f>'Resid Cust Fcst '!BL38</f>
        <v>0</v>
      </c>
      <c r="K37" s="23">
        <f>'Resid Cust Fcst '!BS38</f>
        <v>0</v>
      </c>
      <c r="L37" s="45">
        <f t="shared" si="0"/>
        <v>0</v>
      </c>
      <c r="M37" s="23">
        <f>'Sm Comm Cust Fcst'!F38</f>
        <v>0</v>
      </c>
      <c r="N37" s="23">
        <f>'Sm Comm Cust Fcst'!G38</f>
        <v>0</v>
      </c>
      <c r="O37" s="23">
        <f>'Sm Comm Cust Fcst'!M38</f>
        <v>0</v>
      </c>
      <c r="P37" s="23">
        <f>'Sm Comm Cust Fcst'!T38</f>
        <v>0</v>
      </c>
      <c r="Q37" s="23">
        <f>'Sm Comm Cust Fcst'!AA38</f>
        <v>0</v>
      </c>
      <c r="R37" s="45">
        <f t="shared" si="1"/>
        <v>0</v>
      </c>
      <c r="S37" s="23">
        <f>'Sch AL-TOU Cust Fcst'!F36</f>
        <v>0</v>
      </c>
      <c r="T37" s="23">
        <f>'Sch AL-TOU Cust Fcst'!G36</f>
        <v>0</v>
      </c>
      <c r="U37" s="23">
        <f>'Sch AL-TOU Cust Fcst'!H36</f>
        <v>0</v>
      </c>
      <c r="V37" s="23">
        <f>'Sch DG-R Cust Fcst'!F36</f>
        <v>0</v>
      </c>
      <c r="W37" s="23">
        <f>'Sch DG-R Cust Fcst'!G36</f>
        <v>0</v>
      </c>
      <c r="X37" s="23">
        <f>'Sch A6-TOU Cust Fcst '!B36</f>
        <v>0</v>
      </c>
      <c r="Y37" s="23">
        <f>'Sch A6-TOU Cust Fcst '!C36</f>
        <v>1</v>
      </c>
      <c r="Z37" s="23">
        <f>'Sch OL-TOU Cust Fcst'!F36</f>
        <v>0</v>
      </c>
      <c r="AA37" s="45">
        <f t="shared" si="2"/>
        <v>1</v>
      </c>
      <c r="AB37" s="137">
        <f>'Sch PA-T-1 Cust Fcst'!F36</f>
        <v>0</v>
      </c>
      <c r="AC37" s="23">
        <f>'Sch PA-T-1 Cust Fcst'!G36</f>
        <v>0</v>
      </c>
      <c r="AD37" s="23">
        <f>'Sch TOU-PA Cust Fcst'!F36</f>
        <v>0</v>
      </c>
      <c r="AE37" s="23">
        <f>'Sch TOU-PA Cust Fcst'!G36</f>
        <v>0</v>
      </c>
      <c r="AF37" s="45">
        <f t="shared" si="3"/>
        <v>0</v>
      </c>
      <c r="AG37" s="165"/>
      <c r="AH37" s="165">
        <f t="shared" si="4"/>
        <v>1</v>
      </c>
      <c r="AJ37" s="137">
        <v>0</v>
      </c>
      <c r="AK37" s="23">
        <v>0</v>
      </c>
      <c r="AL37" s="45">
        <f t="shared" si="5"/>
        <v>0</v>
      </c>
      <c r="AM37" s="165"/>
      <c r="AN37" s="165">
        <f t="shared" si="6"/>
        <v>0</v>
      </c>
    </row>
    <row r="38" spans="1:40">
      <c r="A38" s="11"/>
      <c r="B38" s="11"/>
      <c r="C38" s="12"/>
      <c r="D38" s="12"/>
      <c r="E38" s="12"/>
      <c r="F38" s="12"/>
      <c r="G38" s="12"/>
      <c r="H38" s="12"/>
      <c r="I38" s="12"/>
      <c r="J38" s="12"/>
      <c r="K38" s="12"/>
      <c r="L38" s="101"/>
      <c r="M38" s="12"/>
      <c r="N38" s="12"/>
      <c r="O38" s="12"/>
      <c r="P38" s="12"/>
      <c r="Q38" s="12"/>
      <c r="R38" s="101"/>
      <c r="S38" s="12"/>
      <c r="T38" s="13"/>
      <c r="U38" s="13"/>
      <c r="V38" s="12"/>
      <c r="W38" s="13"/>
      <c r="X38" s="13"/>
      <c r="Y38" s="13"/>
      <c r="Z38" s="23">
        <f>'Sch OL-TOU Cust Fcst'!F37</f>
        <v>0</v>
      </c>
      <c r="AA38" s="14"/>
      <c r="AB38" s="11"/>
      <c r="AC38" s="13"/>
      <c r="AD38" s="13"/>
      <c r="AE38" s="13"/>
      <c r="AF38" s="14"/>
      <c r="AG38" s="188"/>
      <c r="AH38" s="188"/>
      <c r="AJ38" s="135"/>
      <c r="AK38" s="13"/>
      <c r="AL38" s="14"/>
      <c r="AM38" s="188"/>
      <c r="AN38" s="188"/>
    </row>
    <row r="39" spans="1:40">
      <c r="A39" s="21" t="s">
        <v>2</v>
      </c>
      <c r="B39" s="223">
        <f t="shared" ref="B39:AG39" si="7">SUM(B7:B38)</f>
        <v>1257541</v>
      </c>
      <c r="C39" s="46">
        <f t="shared" si="7"/>
        <v>3622</v>
      </c>
      <c r="D39" s="46">
        <f t="shared" si="7"/>
        <v>235</v>
      </c>
      <c r="E39" s="46">
        <f t="shared" si="7"/>
        <v>400</v>
      </c>
      <c r="F39" s="46">
        <f t="shared" si="7"/>
        <v>44</v>
      </c>
      <c r="G39" s="46">
        <f t="shared" si="7"/>
        <v>1091</v>
      </c>
      <c r="H39" s="46">
        <f t="shared" si="7"/>
        <v>4517</v>
      </c>
      <c r="I39" s="46">
        <f t="shared" si="7"/>
        <v>3557</v>
      </c>
      <c r="J39" s="46">
        <f t="shared" si="7"/>
        <v>306</v>
      </c>
      <c r="K39" s="46">
        <f t="shared" si="7"/>
        <v>8267</v>
      </c>
      <c r="L39" s="224">
        <f t="shared" si="7"/>
        <v>1279580</v>
      </c>
      <c r="M39" s="46">
        <f t="shared" si="7"/>
        <v>124716</v>
      </c>
      <c r="N39" s="46">
        <f t="shared" si="7"/>
        <v>20</v>
      </c>
      <c r="O39" s="46">
        <f t="shared" si="7"/>
        <v>6988</v>
      </c>
      <c r="P39" s="46">
        <f t="shared" si="7"/>
        <v>158</v>
      </c>
      <c r="Q39" s="46">
        <f t="shared" si="7"/>
        <v>52</v>
      </c>
      <c r="R39" s="224">
        <f t="shared" si="7"/>
        <v>131934</v>
      </c>
      <c r="S39" s="46">
        <f t="shared" si="7"/>
        <v>17448</v>
      </c>
      <c r="T39" s="46">
        <f t="shared" si="7"/>
        <v>348</v>
      </c>
      <c r="U39" s="46">
        <f t="shared" si="7"/>
        <v>18</v>
      </c>
      <c r="V39" s="46">
        <f t="shared" si="7"/>
        <v>246</v>
      </c>
      <c r="W39" s="46">
        <f t="shared" si="7"/>
        <v>5</v>
      </c>
      <c r="X39" s="46">
        <f t="shared" si="7"/>
        <v>13</v>
      </c>
      <c r="Y39" s="46">
        <f t="shared" si="7"/>
        <v>7</v>
      </c>
      <c r="Z39" s="23">
        <f>'Sch OL-TOU Cust Fcst'!F38</f>
        <v>29</v>
      </c>
      <c r="AA39" s="224">
        <f t="shared" si="7"/>
        <v>18114</v>
      </c>
      <c r="AB39" s="223">
        <f t="shared" si="7"/>
        <v>470</v>
      </c>
      <c r="AC39" s="46">
        <f t="shared" si="7"/>
        <v>21</v>
      </c>
      <c r="AD39" s="46">
        <f t="shared" si="7"/>
        <v>3470</v>
      </c>
      <c r="AE39" s="46">
        <f t="shared" si="7"/>
        <v>5</v>
      </c>
      <c r="AF39" s="45">
        <f>SUM(AF7:AF37)</f>
        <v>3966</v>
      </c>
      <c r="AG39" s="46">
        <f t="shared" si="7"/>
        <v>5281</v>
      </c>
      <c r="AH39" s="180">
        <f>SUM(AH7:AH38)</f>
        <v>1438875</v>
      </c>
      <c r="AJ39" s="223">
        <f t="shared" ref="AJ39:AK39" si="8">SUM(AJ7:AJ38)</f>
        <v>1557</v>
      </c>
      <c r="AK39" s="46">
        <f t="shared" si="8"/>
        <v>59</v>
      </c>
      <c r="AL39" s="45">
        <f>SUM(AL7:AL37)</f>
        <v>1616</v>
      </c>
      <c r="AM39" s="46">
        <f t="shared" ref="AM39" si="9">SUM(AM7:AM38)</f>
        <v>103</v>
      </c>
      <c r="AN39" s="180">
        <f>SUM(AN7:AN38)</f>
        <v>1719</v>
      </c>
    </row>
    <row r="40" spans="1:40" ht="13.5" thickBot="1">
      <c r="A40" s="15"/>
      <c r="B40" s="15"/>
      <c r="C40" s="32"/>
      <c r="D40" s="32"/>
      <c r="E40" s="32"/>
      <c r="F40" s="32"/>
      <c r="G40" s="32"/>
      <c r="H40" s="32"/>
      <c r="I40" s="32"/>
      <c r="J40" s="32"/>
      <c r="K40" s="32"/>
      <c r="L40" s="106"/>
      <c r="M40" s="32"/>
      <c r="N40" s="32"/>
      <c r="O40" s="32"/>
      <c r="P40" s="32"/>
      <c r="Q40" s="32"/>
      <c r="R40" s="106"/>
      <c r="S40" s="32"/>
      <c r="T40" s="16"/>
      <c r="U40" s="16"/>
      <c r="V40" s="32"/>
      <c r="W40" s="16"/>
      <c r="X40" s="16"/>
      <c r="Y40" s="16"/>
      <c r="Z40" s="16"/>
      <c r="AA40" s="17"/>
      <c r="AB40" s="138"/>
      <c r="AC40" s="16"/>
      <c r="AD40" s="16"/>
      <c r="AE40" s="16"/>
      <c r="AF40" s="17"/>
      <c r="AG40" s="167"/>
      <c r="AH40" s="167"/>
      <c r="AJ40" s="138"/>
      <c r="AK40" s="16"/>
      <c r="AL40" s="17"/>
      <c r="AM40" s="167"/>
      <c r="AN40" s="167"/>
    </row>
    <row r="41" spans="1:40">
      <c r="T41" s="18"/>
      <c r="U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</row>
    <row r="42" spans="1:40">
      <c r="A42" s="480"/>
      <c r="B42" s="596"/>
      <c r="T42" s="18"/>
      <c r="U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</row>
    <row r="43" spans="1:40">
      <c r="A43" s="480"/>
      <c r="B43" s="392"/>
      <c r="C43" s="478"/>
      <c r="D43" s="478"/>
      <c r="E43" s="478"/>
      <c r="F43" s="478"/>
      <c r="G43" s="478"/>
      <c r="H43" s="478"/>
      <c r="I43" s="478"/>
      <c r="J43" s="478"/>
      <c r="K43" s="478"/>
      <c r="L43" s="479"/>
      <c r="M43" s="478"/>
      <c r="N43" s="478"/>
      <c r="O43" s="478"/>
      <c r="P43" s="478"/>
      <c r="Q43" s="478"/>
      <c r="R43" s="479"/>
      <c r="S43" s="57"/>
      <c r="T43" s="57"/>
      <c r="U43" s="57"/>
      <c r="V43" s="57"/>
      <c r="W43" s="57"/>
      <c r="X43" s="57"/>
      <c r="Y43" s="57"/>
      <c r="Z43" s="57"/>
      <c r="AA43" s="57"/>
      <c r="AB43" s="58"/>
      <c r="AC43" s="58"/>
      <c r="AD43" s="58"/>
      <c r="AE43" s="58"/>
      <c r="AF43" s="57"/>
      <c r="AG43" s="58"/>
      <c r="AH43" s="57"/>
    </row>
    <row r="44" spans="1:40">
      <c r="A44" s="58"/>
      <c r="B44" s="596"/>
      <c r="C44" s="478"/>
      <c r="D44" s="478"/>
      <c r="E44" s="478"/>
      <c r="F44" s="478"/>
      <c r="G44" s="478"/>
      <c r="H44" s="478"/>
      <c r="I44" s="478"/>
      <c r="J44" s="478"/>
      <c r="K44" s="478"/>
      <c r="L44" s="478"/>
      <c r="M44" s="478"/>
      <c r="N44" s="478"/>
      <c r="O44" s="478"/>
      <c r="P44" s="478"/>
      <c r="Q44" s="478"/>
      <c r="R44" s="478"/>
      <c r="S44" s="58"/>
      <c r="T44" s="57"/>
      <c r="U44" s="57"/>
      <c r="V44" s="58"/>
      <c r="W44" s="57"/>
      <c r="X44" s="57"/>
      <c r="Y44" s="57"/>
      <c r="Z44" s="58"/>
      <c r="AA44" s="57"/>
      <c r="AB44" s="58"/>
      <c r="AC44" s="58"/>
      <c r="AD44" s="58"/>
      <c r="AE44" s="58"/>
      <c r="AF44" s="58"/>
      <c r="AG44" s="58"/>
      <c r="AH44" s="57"/>
    </row>
    <row r="45" spans="1:40">
      <c r="A45" s="480"/>
      <c r="B45" s="479"/>
      <c r="C45" s="479"/>
      <c r="D45" s="479"/>
      <c r="E45" s="479"/>
      <c r="F45" s="479"/>
      <c r="G45" s="479"/>
      <c r="H45" s="479"/>
      <c r="I45" s="479"/>
      <c r="J45" s="479"/>
      <c r="K45" s="479"/>
      <c r="L45" s="479"/>
      <c r="M45" s="479"/>
      <c r="N45" s="479"/>
      <c r="O45" s="479"/>
      <c r="P45" s="479"/>
      <c r="Q45" s="479"/>
      <c r="R45" s="479"/>
      <c r="S45" s="57"/>
      <c r="T45" s="57"/>
      <c r="U45" s="57"/>
      <c r="V45" s="57"/>
      <c r="W45" s="57"/>
      <c r="X45" s="57"/>
      <c r="Y45" s="57"/>
      <c r="Z45" s="58"/>
      <c r="AA45" s="57"/>
      <c r="AB45" s="57"/>
      <c r="AC45" s="57"/>
      <c r="AD45" s="58"/>
      <c r="AE45" s="58"/>
      <c r="AF45" s="58"/>
      <c r="AG45" s="57"/>
      <c r="AH45" s="57"/>
    </row>
    <row r="46" spans="1:40">
      <c r="A46" s="480"/>
      <c r="B46" s="479"/>
      <c r="C46" s="479"/>
      <c r="D46" s="479"/>
      <c r="E46" s="479"/>
      <c r="F46" s="479"/>
      <c r="G46" s="479"/>
      <c r="H46" s="479"/>
      <c r="I46" s="479"/>
      <c r="J46" s="479"/>
      <c r="K46" s="479"/>
      <c r="L46" s="479"/>
      <c r="M46" s="479"/>
      <c r="N46" s="479"/>
      <c r="O46" s="479"/>
      <c r="P46" s="479"/>
      <c r="Q46" s="479"/>
      <c r="R46" s="479"/>
      <c r="S46" s="57"/>
      <c r="T46" s="57"/>
      <c r="U46" s="57"/>
      <c r="V46" s="57"/>
      <c r="W46" s="57"/>
      <c r="X46" s="57"/>
      <c r="Y46" s="57"/>
      <c r="Z46" s="58"/>
      <c r="AA46" s="57"/>
      <c r="AB46" s="57"/>
      <c r="AC46" s="57"/>
      <c r="AD46" s="58"/>
      <c r="AE46" s="58"/>
      <c r="AF46" s="58"/>
      <c r="AG46" s="57"/>
      <c r="AH46" s="57"/>
    </row>
    <row r="47" spans="1:40">
      <c r="A47" s="58"/>
      <c r="B47" s="58"/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</row>
    <row r="48" spans="1:40">
      <c r="A48" s="480"/>
      <c r="B48" s="481"/>
      <c r="C48" s="481"/>
      <c r="D48" s="481"/>
      <c r="E48" s="481"/>
      <c r="F48" s="481"/>
      <c r="G48" s="481"/>
      <c r="H48" s="481"/>
      <c r="I48" s="481"/>
      <c r="J48" s="481"/>
      <c r="K48" s="481"/>
      <c r="L48" s="481"/>
      <c r="M48" s="478"/>
      <c r="N48" s="478"/>
      <c r="O48" s="481"/>
      <c r="P48" s="481"/>
      <c r="Q48" s="481"/>
      <c r="R48" s="481"/>
      <c r="S48" s="265"/>
      <c r="T48" s="58"/>
      <c r="U48" s="58"/>
      <c r="V48" s="265"/>
      <c r="W48" s="58"/>
      <c r="X48" s="265"/>
      <c r="Y48" s="58"/>
      <c r="Z48" s="265"/>
      <c r="AA48" s="265"/>
      <c r="AB48" s="265"/>
      <c r="AC48" s="58"/>
      <c r="AD48" s="58"/>
      <c r="AE48" s="58"/>
      <c r="AF48" s="58"/>
      <c r="AG48" s="265"/>
      <c r="AH48" s="265"/>
    </row>
    <row r="53" spans="1:22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V53" s="19"/>
    </row>
    <row r="65" spans="1:22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V65" s="19"/>
    </row>
  </sheetData>
  <mergeCells count="7">
    <mergeCell ref="AJ3:AL3"/>
    <mergeCell ref="AJ2:AN2"/>
    <mergeCell ref="A1:AH1"/>
    <mergeCell ref="AB2:AF2"/>
    <mergeCell ref="X3:Y3"/>
    <mergeCell ref="AD3:AE3"/>
    <mergeCell ref="M3:N3"/>
  </mergeCells>
  <phoneticPr fontId="0" type="noConversion"/>
  <printOptions horizontalCentered="1"/>
  <pageMargins left="0.75" right="0.75" top="1" bottom="1" header="0.5" footer="0.5"/>
  <pageSetup scale="42" orientation="portrait" r:id="rId1"/>
  <headerFooter alignWithMargins="0">
    <oddFooter>&amp;L&amp;F
&amp;A&amp;R&amp;P of &amp;N</oddFooter>
  </headerFooter>
  <colBreaks count="1" manualBreakCount="1">
    <brk id="27" max="42" man="1"/>
  </colBreaks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300-000000000000}">
  <sheetPr codeName="Sheet67"/>
  <dimension ref="A1:AJ81"/>
  <sheetViews>
    <sheetView topLeftCell="A36" zoomScale="75" zoomScaleNormal="75" workbookViewId="0">
      <selection activeCell="A79" sqref="A79"/>
    </sheetView>
  </sheetViews>
  <sheetFormatPr defaultRowHeight="12.75"/>
  <cols>
    <col min="1" max="1" width="76.140625" customWidth="1"/>
    <col min="2" max="2" width="13.7109375" customWidth="1"/>
    <col min="3" max="3" width="9.85546875" bestFit="1" customWidth="1"/>
    <col min="4" max="5" width="9.140625" bestFit="1" customWidth="1"/>
    <col min="6" max="6" width="8.7109375" bestFit="1" customWidth="1"/>
    <col min="7" max="7" width="10.42578125" bestFit="1" customWidth="1"/>
    <col min="8" max="8" width="10.42578125" customWidth="1"/>
    <col min="9" max="9" width="10.28515625" bestFit="1" customWidth="1"/>
    <col min="10" max="10" width="9.5703125" customWidth="1"/>
    <col min="11" max="11" width="12.7109375" bestFit="1" customWidth="1"/>
    <col min="12" max="12" width="13.7109375" bestFit="1" customWidth="1"/>
    <col min="13" max="14" width="11.140625" customWidth="1"/>
    <col min="15" max="15" width="9.85546875" bestFit="1" customWidth="1"/>
    <col min="16" max="17" width="10.42578125" bestFit="1" customWidth="1"/>
    <col min="18" max="18" width="11.5703125" bestFit="1" customWidth="1"/>
    <col min="19" max="19" width="11.7109375" bestFit="1" customWidth="1"/>
    <col min="20" max="20" width="10" bestFit="1" customWidth="1"/>
    <col min="21" max="21" width="11.140625" customWidth="1"/>
    <col min="22" max="22" width="11.7109375" bestFit="1" customWidth="1"/>
    <col min="23" max="24" width="10" bestFit="1" customWidth="1"/>
    <col min="25" max="26" width="11.140625" customWidth="1"/>
    <col min="27" max="27" width="11.140625" bestFit="1" customWidth="1"/>
    <col min="28" max="28" width="13.140625" bestFit="1" customWidth="1"/>
    <col min="29" max="29" width="9.42578125" customWidth="1"/>
    <col min="30" max="32" width="12.28515625" customWidth="1"/>
    <col min="33" max="33" width="10.28515625" bestFit="1" customWidth="1"/>
    <col min="34" max="34" width="15.42578125" bestFit="1" customWidth="1"/>
    <col min="35" max="35" width="14" bestFit="1" customWidth="1"/>
    <col min="39" max="39" width="9.140625" customWidth="1"/>
  </cols>
  <sheetData>
    <row r="1" spans="1:36" ht="18.75" thickBot="1">
      <c r="A1" s="826" t="s">
        <v>226</v>
      </c>
      <c r="B1" s="826"/>
      <c r="C1" s="826"/>
      <c r="D1" s="826"/>
      <c r="E1" s="826"/>
      <c r="F1" s="826"/>
      <c r="G1" s="826"/>
      <c r="H1" s="826"/>
      <c r="I1" s="826"/>
      <c r="J1" s="826"/>
      <c r="K1" s="826"/>
      <c r="L1" s="826"/>
      <c r="M1" s="826"/>
      <c r="N1" s="826"/>
      <c r="O1" s="826"/>
      <c r="P1" s="826"/>
      <c r="Q1" s="826"/>
      <c r="R1" s="826"/>
      <c r="S1" s="826"/>
      <c r="T1" s="826"/>
      <c r="U1" s="826"/>
      <c r="V1" s="826"/>
      <c r="W1" s="826"/>
      <c r="X1" s="826"/>
      <c r="Y1" s="826"/>
      <c r="Z1" s="826"/>
      <c r="AA1" s="826"/>
      <c r="AB1" s="845"/>
      <c r="AC1" s="845"/>
      <c r="AD1" s="845"/>
      <c r="AE1" s="845"/>
      <c r="AF1" s="845"/>
      <c r="AG1" s="826"/>
      <c r="AH1" s="826"/>
    </row>
    <row r="2" spans="1:36" ht="13.5" thickBot="1">
      <c r="A2" s="409"/>
      <c r="B2" s="853" t="s">
        <v>66</v>
      </c>
      <c r="C2" s="854"/>
      <c r="D2" s="854"/>
      <c r="E2" s="854"/>
      <c r="F2" s="854"/>
      <c r="G2" s="854"/>
      <c r="H2" s="854"/>
      <c r="I2" s="854"/>
      <c r="J2" s="854"/>
      <c r="K2" s="854"/>
      <c r="L2" s="855"/>
      <c r="M2" s="854"/>
      <c r="N2" s="854"/>
      <c r="O2" s="854"/>
      <c r="P2" s="854"/>
      <c r="Q2" s="854"/>
      <c r="R2" s="855"/>
      <c r="S2" s="857"/>
      <c r="T2" s="857"/>
      <c r="U2" s="857"/>
      <c r="V2" s="857"/>
      <c r="W2" s="857"/>
      <c r="X2" s="857"/>
      <c r="Y2" s="857"/>
      <c r="Z2" s="857"/>
      <c r="AA2" s="857"/>
      <c r="AB2" s="853" t="s">
        <v>67</v>
      </c>
      <c r="AC2" s="854"/>
      <c r="AD2" s="854"/>
      <c r="AE2" s="854"/>
      <c r="AF2" s="855"/>
      <c r="AG2" s="410" t="s">
        <v>62</v>
      </c>
      <c r="AH2" s="410" t="s">
        <v>109</v>
      </c>
    </row>
    <row r="3" spans="1:36">
      <c r="A3" s="411"/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90"/>
      <c r="M3" s="856" t="s">
        <v>425</v>
      </c>
      <c r="N3" s="858"/>
      <c r="O3" s="103"/>
      <c r="P3" s="103"/>
      <c r="Q3" s="103"/>
      <c r="R3" s="90"/>
      <c r="S3" s="856" t="s">
        <v>81</v>
      </c>
      <c r="T3" s="857"/>
      <c r="U3" s="858"/>
      <c r="V3" s="856" t="s">
        <v>107</v>
      </c>
      <c r="W3" s="858"/>
      <c r="X3" s="856" t="s">
        <v>55</v>
      </c>
      <c r="Y3" s="858"/>
      <c r="Z3" s="410"/>
      <c r="AA3" s="103"/>
      <c r="AB3" s="859" t="s">
        <v>82</v>
      </c>
      <c r="AC3" s="860"/>
      <c r="AD3" s="859" t="s">
        <v>405</v>
      </c>
      <c r="AE3" s="860"/>
      <c r="AF3" s="90"/>
      <c r="AG3" s="412"/>
      <c r="AH3" s="92"/>
    </row>
    <row r="4" spans="1:36" ht="13.5" thickBot="1">
      <c r="A4" s="411"/>
      <c r="B4" s="59" t="s">
        <v>28</v>
      </c>
      <c r="C4" s="59" t="s">
        <v>29</v>
      </c>
      <c r="D4" s="59" t="s">
        <v>30</v>
      </c>
      <c r="E4" s="59" t="s">
        <v>31</v>
      </c>
      <c r="F4" s="59" t="s">
        <v>75</v>
      </c>
      <c r="G4" s="59" t="s">
        <v>73</v>
      </c>
      <c r="H4" s="59" t="s">
        <v>392</v>
      </c>
      <c r="I4" s="59" t="s">
        <v>74</v>
      </c>
      <c r="J4" s="59" t="s">
        <v>105</v>
      </c>
      <c r="K4" s="59" t="s">
        <v>104</v>
      </c>
      <c r="L4" s="59" t="s">
        <v>2</v>
      </c>
      <c r="M4" s="711" t="s">
        <v>0</v>
      </c>
      <c r="N4" s="712" t="s">
        <v>1</v>
      </c>
      <c r="O4" s="59" t="s">
        <v>76</v>
      </c>
      <c r="P4" s="59" t="s">
        <v>77</v>
      </c>
      <c r="Q4" s="59" t="s">
        <v>80</v>
      </c>
      <c r="R4" s="59" t="s">
        <v>2</v>
      </c>
      <c r="S4" s="406" t="s">
        <v>0</v>
      </c>
      <c r="T4" s="407" t="s">
        <v>1</v>
      </c>
      <c r="U4" s="408" t="s">
        <v>101</v>
      </c>
      <c r="V4" s="406" t="s">
        <v>0</v>
      </c>
      <c r="W4" s="408" t="s">
        <v>1</v>
      </c>
      <c r="X4" s="406" t="s">
        <v>1</v>
      </c>
      <c r="Y4" s="408" t="s">
        <v>101</v>
      </c>
      <c r="Z4" s="390" t="s">
        <v>159</v>
      </c>
      <c r="AA4" s="59" t="s">
        <v>2</v>
      </c>
      <c r="AB4" s="406" t="s">
        <v>0</v>
      </c>
      <c r="AC4" s="408" t="s">
        <v>1</v>
      </c>
      <c r="AD4" s="652" t="s">
        <v>0</v>
      </c>
      <c r="AE4" s="654" t="s">
        <v>1</v>
      </c>
      <c r="AF4" s="59" t="s">
        <v>2</v>
      </c>
      <c r="AG4" s="61" t="s">
        <v>2</v>
      </c>
      <c r="AH4" s="61" t="s">
        <v>2</v>
      </c>
    </row>
    <row r="5" spans="1:36" ht="33.75">
      <c r="A5" s="62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7"/>
    </row>
    <row r="6" spans="1:36" ht="18">
      <c r="A6" s="861" t="s">
        <v>227</v>
      </c>
      <c r="B6" s="862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45"/>
    </row>
    <row r="7" spans="1:36">
      <c r="A7" s="47"/>
      <c r="B7" s="6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45"/>
    </row>
    <row r="8" spans="1:36">
      <c r="A8" s="421" t="s">
        <v>486</v>
      </c>
      <c r="B8" s="64">
        <f>'Total Customers'!B39</f>
        <v>1257541</v>
      </c>
      <c r="C8" s="64">
        <f>'Total Customers'!C39</f>
        <v>3622</v>
      </c>
      <c r="D8" s="64">
        <f>'Total Customers'!D39</f>
        <v>235</v>
      </c>
      <c r="E8" s="64">
        <f>'Total Customers'!E39</f>
        <v>400</v>
      </c>
      <c r="F8" s="64">
        <f>'Total Customers'!F39</f>
        <v>44</v>
      </c>
      <c r="G8" s="64">
        <f>'Total Customers'!G39</f>
        <v>1091</v>
      </c>
      <c r="H8" s="64">
        <f>'Total Customers'!H39</f>
        <v>4517</v>
      </c>
      <c r="I8" s="64">
        <f>'Total Customers'!I39</f>
        <v>3557</v>
      </c>
      <c r="J8" s="64">
        <f>'Total Customers'!J39</f>
        <v>306</v>
      </c>
      <c r="K8" s="64">
        <f>'Total Customers'!K39</f>
        <v>8267</v>
      </c>
      <c r="L8" s="64">
        <f>SUM(B8:K8)</f>
        <v>1279580</v>
      </c>
      <c r="M8" s="64">
        <f>'Total Customers'!M39</f>
        <v>124716</v>
      </c>
      <c r="N8" s="64">
        <f>'Total Customers'!N39</f>
        <v>20</v>
      </c>
      <c r="O8" s="64">
        <f>'Total Customers'!O39</f>
        <v>6988</v>
      </c>
      <c r="P8" s="64">
        <f>'Total Customers'!P39</f>
        <v>158</v>
      </c>
      <c r="Q8" s="64">
        <f>'Total Customers'!Q39</f>
        <v>52</v>
      </c>
      <c r="R8" s="64">
        <f>SUM(M8:Q8)</f>
        <v>131934</v>
      </c>
      <c r="S8" s="64">
        <f>'Total Customers'!S39</f>
        <v>17448</v>
      </c>
      <c r="T8" s="64">
        <f>'Total Customers'!T39</f>
        <v>348</v>
      </c>
      <c r="U8" s="64">
        <f>'Total Customers'!U39</f>
        <v>18</v>
      </c>
      <c r="V8" s="64">
        <f>'Total Customers'!V39</f>
        <v>246</v>
      </c>
      <c r="W8" s="64">
        <f>'Total Customers'!W39</f>
        <v>5</v>
      </c>
      <c r="X8" s="64">
        <f>'Total Customers'!X39</f>
        <v>13</v>
      </c>
      <c r="Y8" s="64">
        <f>'Total Customers'!Y39</f>
        <v>7</v>
      </c>
      <c r="Z8" s="64">
        <f>'Total Customers'!Z39</f>
        <v>29</v>
      </c>
      <c r="AA8" s="64">
        <f>SUM(S8:Z8)</f>
        <v>18114</v>
      </c>
      <c r="AB8" s="64">
        <f>'Total Customers'!AB39</f>
        <v>470</v>
      </c>
      <c r="AC8" s="64">
        <f>'Total Customers'!AC39</f>
        <v>21</v>
      </c>
      <c r="AD8" s="64">
        <f>'Total Customers'!AD39</f>
        <v>3470</v>
      </c>
      <c r="AE8" s="64">
        <f>'Total Customers'!AE39</f>
        <v>5</v>
      </c>
      <c r="AF8" s="64">
        <f>SUM(AB8:AE8)</f>
        <v>3966</v>
      </c>
      <c r="AG8" s="64">
        <f>'Total Customers'!AG39</f>
        <v>5281</v>
      </c>
      <c r="AH8" s="422">
        <f>L8+R8+AA8+AF8+AG8</f>
        <v>1438875</v>
      </c>
    </row>
    <row r="9" spans="1:36">
      <c r="A9" s="421" t="s">
        <v>487</v>
      </c>
      <c r="B9" s="786">
        <v>1</v>
      </c>
      <c r="C9" s="786">
        <v>0</v>
      </c>
      <c r="D9" s="786">
        <v>0</v>
      </c>
      <c r="E9" s="786">
        <v>0</v>
      </c>
      <c r="F9" s="786">
        <v>0</v>
      </c>
      <c r="G9" s="786">
        <v>0</v>
      </c>
      <c r="H9" s="786">
        <v>0</v>
      </c>
      <c r="I9" s="786">
        <v>0</v>
      </c>
      <c r="J9" s="786">
        <v>0</v>
      </c>
      <c r="K9" s="786">
        <v>0</v>
      </c>
      <c r="L9" s="64">
        <f>SUM(B9:K9)</f>
        <v>1</v>
      </c>
      <c r="M9" s="786">
        <v>642</v>
      </c>
      <c r="N9" s="786">
        <v>0</v>
      </c>
      <c r="O9" s="786">
        <v>0</v>
      </c>
      <c r="P9" s="786">
        <v>2</v>
      </c>
      <c r="Q9" s="786">
        <v>0</v>
      </c>
      <c r="R9" s="64">
        <f>SUM(M9:Q9)</f>
        <v>644</v>
      </c>
      <c r="S9" s="786">
        <v>804</v>
      </c>
      <c r="T9" s="786">
        <v>45</v>
      </c>
      <c r="U9" s="786">
        <v>0</v>
      </c>
      <c r="V9" s="786">
        <v>102</v>
      </c>
      <c r="W9" s="786">
        <v>13</v>
      </c>
      <c r="X9" s="786">
        <v>1</v>
      </c>
      <c r="Y9" s="786">
        <v>0</v>
      </c>
      <c r="Z9" s="786">
        <v>3</v>
      </c>
      <c r="AA9" s="64">
        <f>SUM(S9:Z9)</f>
        <v>968</v>
      </c>
      <c r="AB9" s="786">
        <v>0</v>
      </c>
      <c r="AC9" s="786">
        <v>0</v>
      </c>
      <c r="AD9" s="786">
        <v>3</v>
      </c>
      <c r="AE9" s="786">
        <v>0</v>
      </c>
      <c r="AF9" s="64">
        <f>SUM(AB9:AE9)</f>
        <v>3</v>
      </c>
      <c r="AG9" s="786">
        <v>103</v>
      </c>
      <c r="AH9" s="422">
        <f>L9+R9+AA9+AF9+AG9</f>
        <v>1719</v>
      </c>
      <c r="AJ9" s="18"/>
    </row>
    <row r="10" spans="1:36">
      <c r="A10" s="421" t="s">
        <v>488</v>
      </c>
      <c r="B10" s="64">
        <f>B8+B9</f>
        <v>1257542</v>
      </c>
      <c r="C10" s="64">
        <f t="shared" ref="C10:AH10" si="0">C8+C9</f>
        <v>3622</v>
      </c>
      <c r="D10" s="64">
        <f t="shared" si="0"/>
        <v>235</v>
      </c>
      <c r="E10" s="64">
        <f t="shared" si="0"/>
        <v>400</v>
      </c>
      <c r="F10" s="64">
        <f t="shared" si="0"/>
        <v>44</v>
      </c>
      <c r="G10" s="64">
        <f t="shared" si="0"/>
        <v>1091</v>
      </c>
      <c r="H10" s="64">
        <f t="shared" si="0"/>
        <v>4517</v>
      </c>
      <c r="I10" s="64">
        <f t="shared" si="0"/>
        <v>3557</v>
      </c>
      <c r="J10" s="64">
        <f t="shared" si="0"/>
        <v>306</v>
      </c>
      <c r="K10" s="64">
        <f t="shared" si="0"/>
        <v>8267</v>
      </c>
      <c r="L10" s="64">
        <f t="shared" si="0"/>
        <v>1279581</v>
      </c>
      <c r="M10" s="64">
        <f t="shared" si="0"/>
        <v>125358</v>
      </c>
      <c r="N10" s="64">
        <f t="shared" si="0"/>
        <v>20</v>
      </c>
      <c r="O10" s="64">
        <f t="shared" si="0"/>
        <v>6988</v>
      </c>
      <c r="P10" s="64">
        <f t="shared" si="0"/>
        <v>160</v>
      </c>
      <c r="Q10" s="64">
        <f t="shared" si="0"/>
        <v>52</v>
      </c>
      <c r="R10" s="64">
        <f t="shared" si="0"/>
        <v>132578</v>
      </c>
      <c r="S10" s="64">
        <f t="shared" si="0"/>
        <v>18252</v>
      </c>
      <c r="T10" s="64">
        <f t="shared" si="0"/>
        <v>393</v>
      </c>
      <c r="U10" s="64">
        <f t="shared" si="0"/>
        <v>18</v>
      </c>
      <c r="V10" s="64">
        <f t="shared" si="0"/>
        <v>348</v>
      </c>
      <c r="W10" s="64">
        <f t="shared" si="0"/>
        <v>18</v>
      </c>
      <c r="X10" s="64">
        <f t="shared" si="0"/>
        <v>14</v>
      </c>
      <c r="Y10" s="64">
        <f t="shared" si="0"/>
        <v>7</v>
      </c>
      <c r="Z10" s="64">
        <f t="shared" si="0"/>
        <v>32</v>
      </c>
      <c r="AA10" s="64">
        <f t="shared" si="0"/>
        <v>19082</v>
      </c>
      <c r="AB10" s="64">
        <f t="shared" si="0"/>
        <v>470</v>
      </c>
      <c r="AC10" s="64">
        <f t="shared" si="0"/>
        <v>21</v>
      </c>
      <c r="AD10" s="64">
        <f t="shared" si="0"/>
        <v>3473</v>
      </c>
      <c r="AE10" s="64">
        <f t="shared" si="0"/>
        <v>5</v>
      </c>
      <c r="AF10" s="64">
        <f t="shared" si="0"/>
        <v>3969</v>
      </c>
      <c r="AG10" s="64">
        <f t="shared" si="0"/>
        <v>5384</v>
      </c>
      <c r="AH10" s="422">
        <f t="shared" si="0"/>
        <v>1440594</v>
      </c>
    </row>
    <row r="11" spans="1:36">
      <c r="A11" s="47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45"/>
    </row>
    <row r="12" spans="1:36" ht="18">
      <c r="A12" s="861" t="s">
        <v>58</v>
      </c>
      <c r="B12" s="86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7"/>
      <c r="AB12" s="23"/>
      <c r="AC12" s="23"/>
      <c r="AD12" s="23"/>
      <c r="AE12" s="23"/>
      <c r="AF12" s="27"/>
      <c r="AG12" s="27"/>
      <c r="AH12" s="45"/>
    </row>
    <row r="13" spans="1:36" ht="13.5" thickBot="1">
      <c r="A13" s="22"/>
      <c r="B13" s="226"/>
      <c r="C13" s="23"/>
      <c r="D13" s="23"/>
      <c r="E13" s="23"/>
      <c r="F13" s="23"/>
      <c r="G13" s="23"/>
      <c r="H13" s="23"/>
      <c r="I13" s="23"/>
      <c r="J13" s="23"/>
      <c r="K13" s="23"/>
      <c r="L13" s="27"/>
      <c r="M13" s="23"/>
      <c r="N13" s="23"/>
      <c r="O13" s="23"/>
      <c r="P13" s="23"/>
      <c r="Q13" s="27"/>
      <c r="R13" s="27"/>
      <c r="S13" s="23"/>
      <c r="T13" s="23"/>
      <c r="U13" s="23"/>
      <c r="V13" s="23"/>
      <c r="W13" s="23"/>
      <c r="X13" s="23"/>
      <c r="Y13" s="23"/>
      <c r="Z13" s="23"/>
      <c r="AA13" s="27"/>
      <c r="AB13" s="227"/>
      <c r="AC13" s="23"/>
      <c r="AD13" s="225"/>
      <c r="AE13" s="23"/>
      <c r="AF13" s="23"/>
      <c r="AG13" s="23"/>
      <c r="AH13" s="45"/>
    </row>
    <row r="14" spans="1:36">
      <c r="A14" s="421" t="s">
        <v>225</v>
      </c>
      <c r="B14" s="66">
        <f t="shared" ref="B14:K14" si="1">B$10/$L$10*$L14</f>
        <v>0.76036513843206199</v>
      </c>
      <c r="C14" s="66">
        <f t="shared" si="1"/>
        <v>2.1900203185268793E-3</v>
      </c>
      <c r="D14" s="66">
        <f t="shared" si="1"/>
        <v>1.4209132381386432E-4</v>
      </c>
      <c r="E14" s="66">
        <f t="shared" si="1"/>
        <v>2.4185757244913077E-4</v>
      </c>
      <c r="F14" s="66">
        <f t="shared" si="1"/>
        <v>2.6604332969404386E-5</v>
      </c>
      <c r="G14" s="66">
        <f t="shared" si="1"/>
        <v>6.5966652885500411E-4</v>
      </c>
      <c r="H14" s="66">
        <f t="shared" si="1"/>
        <v>2.7311766368818091E-3</v>
      </c>
      <c r="I14" s="66">
        <f t="shared" si="1"/>
        <v>2.1507184630038955E-3</v>
      </c>
      <c r="J14" s="66">
        <f t="shared" si="1"/>
        <v>1.8502104292358502E-4</v>
      </c>
      <c r="K14" s="234">
        <f t="shared" si="1"/>
        <v>4.9985913785924102E-3</v>
      </c>
      <c r="L14" s="558">
        <v>0.77369088603007796</v>
      </c>
      <c r="M14" s="67">
        <f t="shared" ref="M14:N14" si="2">M$10/$R$10*$R14</f>
        <v>0.19296881701663626</v>
      </c>
      <c r="N14" s="67">
        <f t="shared" si="2"/>
        <v>3.0786837220861255E-5</v>
      </c>
      <c r="O14" s="67">
        <f>O$10/$R$10*$R14</f>
        <v>1.0756920924968922E-2</v>
      </c>
      <c r="P14" s="67">
        <f>P$10/$R$10*$R14</f>
        <v>2.4629469776689004E-4</v>
      </c>
      <c r="Q14" s="427">
        <f>Q$10/$R$10*$R14</f>
        <v>8.0045776774239261E-5</v>
      </c>
      <c r="R14" s="558">
        <v>0.20408286525336716</v>
      </c>
      <c r="S14" s="66">
        <f t="shared" ref="S14:Z14" si="3">S$10/$AA$10*$AA14</f>
        <v>1.6522317098051138E-2</v>
      </c>
      <c r="T14" s="66">
        <f t="shared" si="3"/>
        <v>3.5575666335382959E-4</v>
      </c>
      <c r="U14" s="66">
        <f t="shared" si="3"/>
        <v>1.6294198321549446E-5</v>
      </c>
      <c r="V14" s="66">
        <f t="shared" si="3"/>
        <v>3.1502116754995592E-4</v>
      </c>
      <c r="W14" s="66">
        <f t="shared" si="3"/>
        <v>1.6294198321549446E-5</v>
      </c>
      <c r="X14" s="66">
        <f t="shared" si="3"/>
        <v>1.2673265361205125E-5</v>
      </c>
      <c r="Y14" s="66">
        <f t="shared" si="3"/>
        <v>6.3366326806025627E-6</v>
      </c>
      <c r="Z14" s="234">
        <f t="shared" si="3"/>
        <v>2.8967463682754569E-5</v>
      </c>
      <c r="AA14" s="558">
        <v>1.7273660687322584E-2</v>
      </c>
      <c r="AB14" s="227">
        <f>AB$10/$AF$10*$AF14</f>
        <v>5.7503086864858755E-4</v>
      </c>
      <c r="AC14" s="66">
        <f>AC$10/$AF$10*$AF14</f>
        <v>2.5692868599192206E-5</v>
      </c>
      <c r="AD14" s="67">
        <f>AD$10/$AF$10*$AF14</f>
        <v>4.2491110783330734E-3</v>
      </c>
      <c r="AE14" s="234">
        <f>AE$10/$AF$10*$AF14</f>
        <v>6.1173496664743353E-6</v>
      </c>
      <c r="AF14" s="558">
        <v>4.8559521652473273E-3</v>
      </c>
      <c r="AG14" s="558">
        <v>9.6635863985021438E-5</v>
      </c>
      <c r="AH14" s="536">
        <f>L14+R14+AA14+AF14+AG14</f>
        <v>1.0000000000000002</v>
      </c>
      <c r="AJ14" s="401"/>
    </row>
    <row r="15" spans="1:36">
      <c r="A15" s="421"/>
      <c r="B15" s="66"/>
      <c r="C15" s="66"/>
      <c r="D15" s="66"/>
      <c r="E15" s="66"/>
      <c r="F15" s="66"/>
      <c r="G15" s="66"/>
      <c r="H15" s="66"/>
      <c r="I15" s="66"/>
      <c r="J15" s="66"/>
      <c r="K15" s="234"/>
      <c r="L15" s="559"/>
      <c r="M15" s="67"/>
      <c r="N15" s="67"/>
      <c r="O15" s="66"/>
      <c r="P15" s="66"/>
      <c r="Q15" s="234"/>
      <c r="R15" s="559"/>
      <c r="S15" s="66"/>
      <c r="T15" s="66"/>
      <c r="U15" s="66"/>
      <c r="V15" s="66"/>
      <c r="W15" s="66"/>
      <c r="X15" s="66"/>
      <c r="Y15" s="66"/>
      <c r="Z15" s="234"/>
      <c r="AA15" s="559"/>
      <c r="AB15" s="67"/>
      <c r="AC15" s="66"/>
      <c r="AD15" s="67"/>
      <c r="AE15" s="234"/>
      <c r="AF15" s="559"/>
      <c r="AG15" s="559"/>
      <c r="AH15" s="537"/>
      <c r="AJ15" s="401"/>
    </row>
    <row r="16" spans="1:36">
      <c r="A16" s="421" t="s">
        <v>160</v>
      </c>
      <c r="B16" s="66">
        <f t="shared" ref="B16:K16" si="4">B$10/$L$10*$L16</f>
        <v>0.35260784538998952</v>
      </c>
      <c r="C16" s="66">
        <f t="shared" si="4"/>
        <v>1.0155888360011372E-3</v>
      </c>
      <c r="D16" s="66">
        <f t="shared" si="4"/>
        <v>6.5892704710178692E-5</v>
      </c>
      <c r="E16" s="66">
        <f t="shared" si="4"/>
        <v>1.12157795251368E-4</v>
      </c>
      <c r="F16" s="66">
        <f t="shared" si="4"/>
        <v>1.233735747765048E-5</v>
      </c>
      <c r="G16" s="66">
        <f t="shared" si="4"/>
        <v>3.0591038654810619E-4</v>
      </c>
      <c r="H16" s="66">
        <f t="shared" si="4"/>
        <v>1.2665419028760729E-3</v>
      </c>
      <c r="I16" s="66">
        <f t="shared" si="4"/>
        <v>9.9736319427278994E-4</v>
      </c>
      <c r="J16" s="66">
        <f t="shared" si="4"/>
        <v>8.5800713367296507E-5</v>
      </c>
      <c r="K16" s="234">
        <f t="shared" si="4"/>
        <v>2.3180212333576478E-3</v>
      </c>
      <c r="L16" s="560">
        <v>0.35878745951385177</v>
      </c>
      <c r="M16" s="451">
        <f t="shared" ref="M16:N16" si="5">M$10/($R$10-$Q$10)*$R16</f>
        <v>0.26262226491825919</v>
      </c>
      <c r="N16" s="451">
        <f t="shared" si="5"/>
        <v>4.189956204123537E-5</v>
      </c>
      <c r="O16" s="451">
        <f>O$10/($R$10-$Q$10)*$R16</f>
        <v>1.4639706977207638E-2</v>
      </c>
      <c r="P16" s="451">
        <f>P$10/($R$10-$Q$10)*$R16</f>
        <v>3.3519649632988296E-4</v>
      </c>
      <c r="Q16" s="227">
        <v>0</v>
      </c>
      <c r="R16" s="560">
        <v>0.27763906795383791</v>
      </c>
      <c r="S16" s="452">
        <f t="shared" ref="S16:Z16" si="6">S$10/$AA$10*$AA16</f>
        <v>0.30344871618548908</v>
      </c>
      <c r="T16" s="452">
        <f t="shared" si="6"/>
        <v>6.5338234418637524E-3</v>
      </c>
      <c r="U16" s="452">
        <f t="shared" si="6"/>
        <v>2.9925908894032452E-4</v>
      </c>
      <c r="V16" s="452">
        <f t="shared" si="6"/>
        <v>5.7856757195129402E-3</v>
      </c>
      <c r="W16" s="452">
        <f t="shared" si="6"/>
        <v>2.9925908894032452E-4</v>
      </c>
      <c r="X16" s="452">
        <f t="shared" si="6"/>
        <v>2.3275706917580795E-4</v>
      </c>
      <c r="Y16" s="452">
        <f t="shared" si="6"/>
        <v>1.1637853458790398E-4</v>
      </c>
      <c r="Z16" s="453">
        <f t="shared" si="6"/>
        <v>5.3201615811613245E-4</v>
      </c>
      <c r="AA16" s="560">
        <v>0.31724788528662623</v>
      </c>
      <c r="AB16" s="227">
        <f>AB$10/$AF$10*$AF16</f>
        <v>5.308522578868974E-3</v>
      </c>
      <c r="AC16" s="452">
        <f>AC$10/$AF$10*$AF16</f>
        <v>2.3718930671542225E-4</v>
      </c>
      <c r="AD16" s="451">
        <f>AD$10/$AF$10*$AF16</f>
        <v>3.9226593439174361E-2</v>
      </c>
      <c r="AE16" s="453">
        <f>AE$10/$AF$10*$AF16</f>
        <v>5.6473644456052914E-5</v>
      </c>
      <c r="AF16" s="560">
        <v>4.4828778969214805E-2</v>
      </c>
      <c r="AG16" s="560">
        <v>1.4968082764692935E-3</v>
      </c>
      <c r="AH16" s="538">
        <f>L16+R16+AA16+AF16+AG16</f>
        <v>1</v>
      </c>
      <c r="AJ16" s="401"/>
    </row>
    <row r="17" spans="1:36">
      <c r="A17" s="423"/>
      <c r="B17" s="64"/>
      <c r="C17" s="64"/>
      <c r="D17" s="64"/>
      <c r="E17" s="64"/>
      <c r="F17" s="64"/>
      <c r="G17" s="64"/>
      <c r="H17" s="64"/>
      <c r="I17" s="64"/>
      <c r="J17" s="64"/>
      <c r="K17" s="233"/>
      <c r="L17" s="561"/>
      <c r="M17" s="65"/>
      <c r="N17" s="65"/>
      <c r="O17" s="65"/>
      <c r="P17" s="65"/>
      <c r="Q17" s="404"/>
      <c r="R17" s="561"/>
      <c r="S17" s="64"/>
      <c r="T17" s="64"/>
      <c r="U17" s="187"/>
      <c r="V17" s="187"/>
      <c r="W17" s="64"/>
      <c r="X17" s="64"/>
      <c r="Y17" s="64"/>
      <c r="Z17" s="233"/>
      <c r="AA17" s="561"/>
      <c r="AB17" s="404"/>
      <c r="AC17" s="64"/>
      <c r="AD17" s="65"/>
      <c r="AE17" s="404"/>
      <c r="AF17" s="561"/>
      <c r="AG17" s="561"/>
      <c r="AH17" s="539"/>
      <c r="AJ17" s="401"/>
    </row>
    <row r="18" spans="1:36">
      <c r="A18" s="423" t="s">
        <v>57</v>
      </c>
      <c r="B18" s="66">
        <f t="shared" ref="B18:K18" si="7">B$10/$L$10*$L18</f>
        <v>0.58201000782287327</v>
      </c>
      <c r="C18" s="66">
        <f t="shared" si="7"/>
        <v>1.6763179665843743E-3</v>
      </c>
      <c r="D18" s="66">
        <f t="shared" si="7"/>
        <v>1.0876165713620317E-4</v>
      </c>
      <c r="E18" s="66">
        <f t="shared" si="7"/>
        <v>1.8512622491268627E-4</v>
      </c>
      <c r="F18" s="66">
        <f t="shared" si="7"/>
        <v>2.036388474039549E-5</v>
      </c>
      <c r="G18" s="66">
        <f t="shared" si="7"/>
        <v>5.0493177844935177E-4</v>
      </c>
      <c r="H18" s="66">
        <f t="shared" si="7"/>
        <v>2.0905378948265097E-3</v>
      </c>
      <c r="I18" s="66">
        <f t="shared" si="7"/>
        <v>1.6462349550360627E-3</v>
      </c>
      <c r="J18" s="66">
        <f t="shared" si="7"/>
        <v>1.41621562058205E-4</v>
      </c>
      <c r="K18" s="234">
        <f t="shared" si="7"/>
        <v>3.8260962533829433E-3</v>
      </c>
      <c r="L18" s="559">
        <v>0.59221000000000001</v>
      </c>
      <c r="M18" s="67">
        <f t="shared" ref="M18:N18" si="8">M$10/$R$10*$R18</f>
        <v>0.30971620246948633</v>
      </c>
      <c r="N18" s="67">
        <f t="shared" si="8"/>
        <v>4.9413073353034729E-5</v>
      </c>
      <c r="O18" s="67">
        <f>O$10/$R$10*$R18</f>
        <v>1.7264927829550334E-2</v>
      </c>
      <c r="P18" s="67">
        <f>P$10/$R$10*$R18</f>
        <v>3.9530458682427783E-4</v>
      </c>
      <c r="Q18" s="427">
        <f>Q$10/$R$10*$R18</f>
        <v>1.2847399071789028E-4</v>
      </c>
      <c r="R18" s="559">
        <v>0.32755432194993189</v>
      </c>
      <c r="S18" s="66">
        <f t="shared" ref="S18:Z18" si="9">S$10/$AA$10*$AA18</f>
        <v>5.2765306238026409E-2</v>
      </c>
      <c r="T18" s="66">
        <f t="shared" si="9"/>
        <v>1.1361366070317981E-3</v>
      </c>
      <c r="U18" s="66">
        <f t="shared" si="9"/>
        <v>5.2036791161761743E-5</v>
      </c>
      <c r="V18" s="66">
        <f t="shared" si="9"/>
        <v>1.0060446291273936E-3</v>
      </c>
      <c r="W18" s="66">
        <f t="shared" si="9"/>
        <v>5.2036791161761743E-5</v>
      </c>
      <c r="X18" s="66">
        <f t="shared" si="9"/>
        <v>4.0473059792481354E-5</v>
      </c>
      <c r="Y18" s="66">
        <f t="shared" si="9"/>
        <v>2.0236529896240677E-5</v>
      </c>
      <c r="Z18" s="234">
        <f t="shared" si="9"/>
        <v>9.2509850954243097E-5</v>
      </c>
      <c r="AA18" s="559">
        <v>5.5164780497152087E-2</v>
      </c>
      <c r="AB18" s="227">
        <f>AB$10/$AF$10*$AF18</f>
        <v>1.205274602577421E-3</v>
      </c>
      <c r="AC18" s="66">
        <f>AC$10/$AF$10*$AF18</f>
        <v>5.3852695008778378E-5</v>
      </c>
      <c r="AD18" s="67">
        <f>AD$10/$AF$10*$AF18</f>
        <v>8.906209988832731E-3</v>
      </c>
      <c r="AE18" s="227">
        <f>AE$10/$AF$10*$AF18</f>
        <v>1.2822070240185328E-5</v>
      </c>
      <c r="AF18" s="559">
        <v>1.0178159356659115E-2</v>
      </c>
      <c r="AG18" s="559">
        <v>1.4892738196256926E-2</v>
      </c>
      <c r="AH18" s="537">
        <f>L18+R18+AA18+AF18+AG18</f>
        <v>1</v>
      </c>
      <c r="AJ18" s="401"/>
    </row>
    <row r="19" spans="1:36">
      <c r="A19" s="423"/>
      <c r="B19" s="64"/>
      <c r="C19" s="64"/>
      <c r="D19" s="64"/>
      <c r="E19" s="64"/>
      <c r="F19" s="64"/>
      <c r="G19" s="64"/>
      <c r="H19" s="64"/>
      <c r="I19" s="64"/>
      <c r="J19" s="64"/>
      <c r="K19" s="233"/>
      <c r="L19" s="561"/>
      <c r="M19" s="65"/>
      <c r="N19" s="65"/>
      <c r="O19" s="65"/>
      <c r="P19" s="65"/>
      <c r="Q19" s="404"/>
      <c r="R19" s="561"/>
      <c r="S19" s="64"/>
      <c r="T19" s="64"/>
      <c r="U19" s="187"/>
      <c r="V19" s="187"/>
      <c r="W19" s="64"/>
      <c r="X19" s="64"/>
      <c r="Y19" s="64"/>
      <c r="Z19" s="233"/>
      <c r="AA19" s="561"/>
      <c r="AB19" s="225"/>
      <c r="AC19" s="64"/>
      <c r="AD19" s="65"/>
      <c r="AE19" s="225"/>
      <c r="AF19" s="561"/>
      <c r="AG19" s="561"/>
      <c r="AH19" s="540"/>
      <c r="AJ19" s="401"/>
    </row>
    <row r="20" spans="1:36">
      <c r="A20" s="423" t="s">
        <v>161</v>
      </c>
      <c r="B20" s="66">
        <f t="shared" ref="B20:K20" si="10">B$10/$L$10*$L20</f>
        <v>0.88404499646921508</v>
      </c>
      <c r="C20" s="66">
        <f t="shared" si="10"/>
        <v>2.5462457533915344E-3</v>
      </c>
      <c r="D20" s="66">
        <f t="shared" si="10"/>
        <v>1.6520368637410563E-4</v>
      </c>
      <c r="E20" s="66">
        <f t="shared" si="10"/>
        <v>2.8119776404103087E-4</v>
      </c>
      <c r="F20" s="66">
        <f t="shared" si="10"/>
        <v>3.0931754044513399E-5</v>
      </c>
      <c r="G20" s="66">
        <f t="shared" si="10"/>
        <v>7.6696690142191162E-4</v>
      </c>
      <c r="H20" s="66">
        <f t="shared" si="10"/>
        <v>3.1754257504333409E-3</v>
      </c>
      <c r="I20" s="66">
        <f t="shared" si="10"/>
        <v>2.5005511167348667E-3</v>
      </c>
      <c r="J20" s="66">
        <f t="shared" si="10"/>
        <v>2.151162894913886E-4</v>
      </c>
      <c r="K20" s="234">
        <f t="shared" si="10"/>
        <v>5.8116547883180049E-3</v>
      </c>
      <c r="L20" s="559">
        <v>0.89953829027346577</v>
      </c>
      <c r="M20" s="67">
        <f t="shared" ref="M20:N20" si="11">M$10/$R$10*$R20</f>
        <v>7.6047172405799099E-2</v>
      </c>
      <c r="N20" s="67">
        <f t="shared" si="11"/>
        <v>1.2132799247881924E-5</v>
      </c>
      <c r="O20" s="67">
        <f>O$10/$R$10*$R20</f>
        <v>4.2392000572099436E-3</v>
      </c>
      <c r="P20" s="67">
        <f>P$10/$R$10*$R20</f>
        <v>9.7062393983055395E-5</v>
      </c>
      <c r="Q20" s="427">
        <f>Q$10/$R$10*$R20</f>
        <v>3.1545278044492998E-5</v>
      </c>
      <c r="R20" s="559">
        <v>8.0427112934284478E-2</v>
      </c>
      <c r="S20" s="66">
        <f t="shared" ref="S20:Z20" si="12">S$10/$AA$10*$AA20</f>
        <v>1.3246630396295056E-2</v>
      </c>
      <c r="T20" s="66">
        <f t="shared" si="12"/>
        <v>2.8522494771772726E-4</v>
      </c>
      <c r="U20" s="66">
        <f t="shared" si="12"/>
        <v>1.3063738063407354E-5</v>
      </c>
      <c r="V20" s="66">
        <f t="shared" si="12"/>
        <v>2.5256560255920881E-4</v>
      </c>
      <c r="W20" s="66">
        <f t="shared" si="12"/>
        <v>1.3063738063407354E-5</v>
      </c>
      <c r="X20" s="66">
        <f t="shared" si="12"/>
        <v>1.0160685160427942E-5</v>
      </c>
      <c r="Y20" s="66">
        <f t="shared" si="12"/>
        <v>5.0803425802139709E-6</v>
      </c>
      <c r="Z20" s="234">
        <f t="shared" si="12"/>
        <v>2.3224423223835294E-5</v>
      </c>
      <c r="AA20" s="559">
        <v>1.3849013873663284E-2</v>
      </c>
      <c r="AB20" s="227">
        <f>AB$10/$AF$10*$AF20</f>
        <v>2.9691305289395684E-4</v>
      </c>
      <c r="AC20" s="66">
        <f>AC$10/$AF$10*$AF20</f>
        <v>1.3266327895261901E-5</v>
      </c>
      <c r="AD20" s="67">
        <f>AD$10/$AF$10*$AF20</f>
        <v>2.1939979419164091E-3</v>
      </c>
      <c r="AE20" s="227">
        <f>AE$10/$AF$10*$AF20</f>
        <v>3.1586494988718814E-6</v>
      </c>
      <c r="AF20" s="559">
        <v>2.5073359722044995E-3</v>
      </c>
      <c r="AG20" s="559">
        <v>3.6782469463819936E-3</v>
      </c>
      <c r="AH20" s="537">
        <f>L20+R20+AA20+AF20+AG20</f>
        <v>1.0000000000000002</v>
      </c>
      <c r="AJ20" s="401"/>
    </row>
    <row r="21" spans="1:36">
      <c r="A21" s="423"/>
      <c r="B21" s="64"/>
      <c r="C21" s="64"/>
      <c r="D21" s="64"/>
      <c r="E21" s="64"/>
      <c r="F21" s="64"/>
      <c r="G21" s="64"/>
      <c r="H21" s="64"/>
      <c r="I21" s="64"/>
      <c r="J21" s="64"/>
      <c r="K21" s="233"/>
      <c r="L21" s="561"/>
      <c r="M21" s="65"/>
      <c r="N21" s="65"/>
      <c r="O21" s="65"/>
      <c r="P21" s="65"/>
      <c r="Q21" s="404"/>
      <c r="R21" s="561"/>
      <c r="S21" s="64"/>
      <c r="T21" s="64"/>
      <c r="U21" s="187"/>
      <c r="V21" s="187"/>
      <c r="W21" s="64"/>
      <c r="X21" s="64"/>
      <c r="Y21" s="64"/>
      <c r="Z21" s="233"/>
      <c r="AA21" s="561"/>
      <c r="AB21" s="225"/>
      <c r="AC21" s="64"/>
      <c r="AD21" s="65"/>
      <c r="AE21" s="225"/>
      <c r="AF21" s="561"/>
      <c r="AG21" s="561"/>
      <c r="AH21" s="539"/>
      <c r="AJ21" s="401"/>
    </row>
    <row r="22" spans="1:36">
      <c r="A22" s="423" t="s">
        <v>162</v>
      </c>
      <c r="B22" s="66">
        <f t="shared" ref="B22:K22" si="13">B$10/$L$10*$L22</f>
        <v>0.87607238366832041</v>
      </c>
      <c r="C22" s="66">
        <f t="shared" si="13"/>
        <v>2.523282859456509E-3</v>
      </c>
      <c r="D22" s="66">
        <f t="shared" si="13"/>
        <v>1.6371382439875194E-4</v>
      </c>
      <c r="E22" s="66">
        <f t="shared" si="13"/>
        <v>2.7866182876383309E-4</v>
      </c>
      <c r="F22" s="66">
        <f t="shared" si="13"/>
        <v>3.0652801164021644E-5</v>
      </c>
      <c r="G22" s="66">
        <f t="shared" si="13"/>
        <v>7.6005013795335476E-4</v>
      </c>
      <c r="H22" s="66">
        <f t="shared" si="13"/>
        <v>3.1467887013155848E-3</v>
      </c>
      <c r="I22" s="66">
        <f t="shared" si="13"/>
        <v>2.4780003122823859E-3</v>
      </c>
      <c r="J22" s="66">
        <f t="shared" si="13"/>
        <v>2.1317629900433229E-4</v>
      </c>
      <c r="K22" s="234">
        <f t="shared" si="13"/>
        <v>5.7592433459765207E-3</v>
      </c>
      <c r="L22" s="559">
        <v>0.89142595377863576</v>
      </c>
      <c r="M22" s="67">
        <f t="shared" ref="M22:N22" si="14">M$10/$R$10*$R22</f>
        <v>8.5813173056086808E-2</v>
      </c>
      <c r="N22" s="67">
        <f t="shared" si="14"/>
        <v>1.3690896960080221E-5</v>
      </c>
      <c r="O22" s="67">
        <f>O$10/$R$10*$R22</f>
        <v>4.7835993978520286E-3</v>
      </c>
      <c r="P22" s="67">
        <f>P$10/$R$10*$R22</f>
        <v>1.0952717568064177E-4</v>
      </c>
      <c r="Q22" s="427">
        <f>Q$10/$R$10*$R22</f>
        <v>3.5596332096208568E-5</v>
      </c>
      <c r="R22" s="559">
        <v>9.0755586858675769E-2</v>
      </c>
      <c r="S22" s="66">
        <f t="shared" ref="S22:Z22" si="15">S$10/$AA$10*$AA22</f>
        <v>1.1363397630519816E-2</v>
      </c>
      <c r="T22" s="66">
        <f t="shared" si="15"/>
        <v>2.4467539276760286E-4</v>
      </c>
      <c r="U22" s="66">
        <f t="shared" si="15"/>
        <v>1.1206506538974178E-5</v>
      </c>
      <c r="V22" s="66">
        <f t="shared" si="15"/>
        <v>2.1665912642016743E-4</v>
      </c>
      <c r="W22" s="66">
        <f t="shared" si="15"/>
        <v>1.1206506538974178E-5</v>
      </c>
      <c r="X22" s="66">
        <f t="shared" si="15"/>
        <v>8.7161717525354719E-6</v>
      </c>
      <c r="Y22" s="66">
        <f t="shared" si="15"/>
        <v>4.3580858762677359E-6</v>
      </c>
      <c r="Z22" s="234">
        <f t="shared" si="15"/>
        <v>1.9922678291509646E-5</v>
      </c>
      <c r="AA22" s="559">
        <v>1.1880142098705847E-2</v>
      </c>
      <c r="AB22" s="227">
        <f>AB$10/$AF$10*$AF22</f>
        <v>3.6692777938816725E-4</v>
      </c>
      <c r="AC22" s="66">
        <f>AC$10/$AF$10*$AF22</f>
        <v>1.6394645462024492E-5</v>
      </c>
      <c r="AD22" s="67">
        <f>AD$10/$AF$10*$AF22</f>
        <v>2.7113620804576702E-3</v>
      </c>
      <c r="AE22" s="227">
        <f>AE$10/$AF$10*$AF22</f>
        <v>3.9034870147677368E-6</v>
      </c>
      <c r="AF22" s="559">
        <v>3.0985879923226293E-3</v>
      </c>
      <c r="AG22" s="559">
        <v>2.8397292716599506E-3</v>
      </c>
      <c r="AH22" s="537">
        <f>L22+R22+AA22+AF22+AG22</f>
        <v>1</v>
      </c>
      <c r="AJ22" s="401"/>
    </row>
    <row r="23" spans="1:36">
      <c r="A23" s="423"/>
      <c r="B23" s="64"/>
      <c r="C23" s="64"/>
      <c r="D23" s="64"/>
      <c r="E23" s="64"/>
      <c r="F23" s="64"/>
      <c r="G23" s="64"/>
      <c r="H23" s="64"/>
      <c r="I23" s="64"/>
      <c r="J23" s="64"/>
      <c r="K23" s="233"/>
      <c r="L23" s="561"/>
      <c r="M23" s="65"/>
      <c r="N23" s="65"/>
      <c r="O23" s="65"/>
      <c r="P23" s="65"/>
      <c r="Q23" s="404"/>
      <c r="R23" s="561"/>
      <c r="S23" s="64"/>
      <c r="T23" s="64"/>
      <c r="U23" s="187"/>
      <c r="V23" s="187"/>
      <c r="W23" s="64"/>
      <c r="X23" s="64"/>
      <c r="Y23" s="64"/>
      <c r="Z23" s="233"/>
      <c r="AA23" s="561"/>
      <c r="AB23" s="225"/>
      <c r="AC23" s="64"/>
      <c r="AD23" s="65"/>
      <c r="AE23" s="225"/>
      <c r="AF23" s="561"/>
      <c r="AG23" s="561"/>
      <c r="AH23" s="540"/>
      <c r="AJ23" s="401"/>
    </row>
    <row r="24" spans="1:36">
      <c r="A24" s="152" t="s">
        <v>163</v>
      </c>
      <c r="B24" s="66">
        <f t="shared" ref="B24:K24" si="16">B$10/$L$10*$L24</f>
        <v>0.90229676880594778</v>
      </c>
      <c r="C24" s="66">
        <f t="shared" si="16"/>
        <v>2.5988149076652256E-3</v>
      </c>
      <c r="D24" s="66">
        <f t="shared" si="16"/>
        <v>1.6861444044763334E-4</v>
      </c>
      <c r="E24" s="66">
        <f t="shared" si="16"/>
        <v>2.8700330288958871E-4</v>
      </c>
      <c r="F24" s="66">
        <f t="shared" si="16"/>
        <v>3.1570363317854755E-5</v>
      </c>
      <c r="G24" s="66">
        <f t="shared" si="16"/>
        <v>7.8280150863135314E-4</v>
      </c>
      <c r="H24" s="66">
        <f t="shared" si="16"/>
        <v>3.2409847978806801E-3</v>
      </c>
      <c r="I24" s="66">
        <f t="shared" si="16"/>
        <v>2.5521768709456673E-3</v>
      </c>
      <c r="J24" s="66">
        <f t="shared" si="16"/>
        <v>2.1955752671053532E-4</v>
      </c>
      <c r="K24" s="234">
        <f t="shared" si="16"/>
        <v>5.9316407624705738E-3</v>
      </c>
      <c r="L24" s="559">
        <v>0.91810993328690693</v>
      </c>
      <c r="M24" s="67">
        <f t="shared" ref="M24:N24" si="17">M$10/$R$10*$R24</f>
        <v>6.1928433350864814E-2</v>
      </c>
      <c r="N24" s="67">
        <f t="shared" si="17"/>
        <v>9.8802522935695879E-6</v>
      </c>
      <c r="O24" s="67">
        <f>O$10/$R$10*$R24</f>
        <v>3.4521601513732136E-3</v>
      </c>
      <c r="P24" s="67">
        <f>P$10/$R$10*$R24</f>
        <v>7.9042018348556703E-5</v>
      </c>
      <c r="Q24" s="427">
        <f>Q$10/$R$10*$R24</f>
        <v>2.5688655963280925E-5</v>
      </c>
      <c r="R24" s="559">
        <v>6.5495204428843434E-2</v>
      </c>
      <c r="S24" s="66">
        <f t="shared" ref="S24:Z24" si="18">S$10/$AA$10*$AA24</f>
        <v>1.0853751612000683E-2</v>
      </c>
      <c r="T24" s="66">
        <f t="shared" si="18"/>
        <v>2.3370175232940326E-4</v>
      </c>
      <c r="U24" s="66">
        <f t="shared" si="18"/>
        <v>1.0703897053255111E-5</v>
      </c>
      <c r="V24" s="66">
        <f t="shared" si="18"/>
        <v>2.0694200969626546E-4</v>
      </c>
      <c r="W24" s="66">
        <f t="shared" si="18"/>
        <v>1.0703897053255111E-5</v>
      </c>
      <c r="X24" s="66">
        <f t="shared" si="18"/>
        <v>8.3252532636428634E-6</v>
      </c>
      <c r="Y24" s="66">
        <f t="shared" si="18"/>
        <v>4.1626266318214317E-6</v>
      </c>
      <c r="Z24" s="234">
        <f t="shared" si="18"/>
        <v>1.9029150316897974E-5</v>
      </c>
      <c r="AA24" s="559">
        <v>1.1347320198345223E-2</v>
      </c>
      <c r="AB24" s="227">
        <f>AB$10/$AF$10*$AF24</f>
        <v>2.4224633080728694E-4</v>
      </c>
      <c r="AC24" s="66">
        <f>AC$10/$AF$10*$AF24</f>
        <v>1.0823772227559629E-5</v>
      </c>
      <c r="AD24" s="67">
        <f>AD$10/$AF$10*$AF24</f>
        <v>1.7900457593483141E-3</v>
      </c>
      <c r="AE24" s="227">
        <f>AE$10/$AF$10*$AF24</f>
        <v>2.5770886256094355E-6</v>
      </c>
      <c r="AF24" s="559">
        <v>2.04569295100877E-3</v>
      </c>
      <c r="AG24" s="559">
        <v>3.0018491348957079E-3</v>
      </c>
      <c r="AH24" s="537">
        <f>L24+R24+AA24+AF24+AG24</f>
        <v>1</v>
      </c>
      <c r="AJ24" s="401"/>
    </row>
    <row r="25" spans="1:36">
      <c r="A25" s="423"/>
      <c r="B25" s="64"/>
      <c r="C25" s="64"/>
      <c r="D25" s="64"/>
      <c r="E25" s="64"/>
      <c r="F25" s="64"/>
      <c r="G25" s="64"/>
      <c r="H25" s="64"/>
      <c r="I25" s="64"/>
      <c r="J25" s="64"/>
      <c r="K25" s="233"/>
      <c r="L25" s="561"/>
      <c r="M25" s="65"/>
      <c r="N25" s="65"/>
      <c r="O25" s="65"/>
      <c r="P25" s="65"/>
      <c r="Q25" s="404"/>
      <c r="R25" s="561"/>
      <c r="S25" s="64"/>
      <c r="T25" s="64"/>
      <c r="U25" s="187"/>
      <c r="V25" s="187"/>
      <c r="W25" s="64"/>
      <c r="X25" s="64"/>
      <c r="Y25" s="64"/>
      <c r="Z25" s="233"/>
      <c r="AA25" s="561"/>
      <c r="AB25" s="225"/>
      <c r="AC25" s="64"/>
      <c r="AD25" s="65"/>
      <c r="AE25" s="225"/>
      <c r="AF25" s="561"/>
      <c r="AG25" s="561"/>
      <c r="AH25" s="540"/>
      <c r="AJ25" s="401"/>
    </row>
    <row r="26" spans="1:36">
      <c r="A26" s="152" t="s">
        <v>222</v>
      </c>
      <c r="B26" s="66">
        <f t="shared" ref="B26:K26" si="19">B$10/$L$10*$L26</f>
        <v>0.90427051242417633</v>
      </c>
      <c r="C26" s="66">
        <f t="shared" si="19"/>
        <v>2.6044997272459823E-3</v>
      </c>
      <c r="D26" s="66">
        <f t="shared" si="19"/>
        <v>1.6898327882462888E-4</v>
      </c>
      <c r="E26" s="66">
        <f t="shared" si="19"/>
        <v>2.8763111289298532E-4</v>
      </c>
      <c r="F26" s="66">
        <f t="shared" si="19"/>
        <v>3.1639422418228387E-5</v>
      </c>
      <c r="G26" s="66">
        <f t="shared" si="19"/>
        <v>7.8451386041561747E-4</v>
      </c>
      <c r="H26" s="66">
        <f t="shared" si="19"/>
        <v>3.2480743423440365E-3</v>
      </c>
      <c r="I26" s="66">
        <f t="shared" si="19"/>
        <v>2.5577596714008717E-3</v>
      </c>
      <c r="J26" s="66">
        <f t="shared" si="19"/>
        <v>2.2003780136313375E-4</v>
      </c>
      <c r="K26" s="234">
        <f t="shared" si="19"/>
        <v>5.9446160257157739E-3</v>
      </c>
      <c r="L26" s="559">
        <v>0.92011826766679761</v>
      </c>
      <c r="M26" s="67">
        <f t="shared" ref="M26:N26" si="20">M$10/$R$10*$R26</f>
        <v>6.0538960433723567E-2</v>
      </c>
      <c r="N26" s="67">
        <f t="shared" si="20"/>
        <v>9.6585715205608842E-6</v>
      </c>
      <c r="O26" s="67">
        <f>O$10/$R$10*$R26</f>
        <v>3.3747048892839729E-3</v>
      </c>
      <c r="P26" s="67">
        <f>P$10/$R$10*$R26</f>
        <v>7.7268572164487074E-5</v>
      </c>
      <c r="Q26" s="427">
        <f>Q$10/$R$10*$R26</f>
        <v>2.5112285953458296E-5</v>
      </c>
      <c r="R26" s="559">
        <v>6.4025704752646045E-2</v>
      </c>
      <c r="S26" s="66">
        <f t="shared" ref="S26:Z26" si="21">S$10/$AA$10*$AA26</f>
        <v>1.0465645754082511E-2</v>
      </c>
      <c r="T26" s="66">
        <f t="shared" si="21"/>
        <v>2.2534510088507707E-4</v>
      </c>
      <c r="U26" s="66">
        <f t="shared" si="21"/>
        <v>1.0321149658858492E-5</v>
      </c>
      <c r="V26" s="66">
        <f t="shared" si="21"/>
        <v>1.9954222673793082E-4</v>
      </c>
      <c r="W26" s="66">
        <f t="shared" si="21"/>
        <v>1.0321149658858492E-5</v>
      </c>
      <c r="X26" s="66">
        <f t="shared" si="21"/>
        <v>8.0275608457788266E-6</v>
      </c>
      <c r="Y26" s="66">
        <f t="shared" si="21"/>
        <v>4.0137804228894133E-6</v>
      </c>
      <c r="Z26" s="234">
        <f t="shared" si="21"/>
        <v>1.8348710504637317E-5</v>
      </c>
      <c r="AA26" s="559">
        <v>1.094156543279654E-2</v>
      </c>
      <c r="AB26" s="227">
        <f>AB$10/$AF$10*$AF26</f>
        <v>2.3605355804167663E-4</v>
      </c>
      <c r="AC26" s="66">
        <f>AC$10/$AF$10*$AF26</f>
        <v>1.0547073869947254E-5</v>
      </c>
      <c r="AD26" s="67">
        <f>AD$10/$AF$10*$AF26</f>
        <v>1.744285121444134E-3</v>
      </c>
      <c r="AE26" s="227">
        <f>AE$10/$AF$10*$AF26</f>
        <v>2.5112080642731556E-6</v>
      </c>
      <c r="AF26" s="559">
        <v>1.993396961420031E-3</v>
      </c>
      <c r="AG26" s="559">
        <v>2.9210651863397176E-3</v>
      </c>
      <c r="AH26" s="537">
        <f>L26+R26+AA26+AF26+AG26</f>
        <v>0.99999999999999989</v>
      </c>
      <c r="AJ26" s="401"/>
    </row>
    <row r="27" spans="1:36">
      <c r="A27" s="423"/>
      <c r="B27" s="64"/>
      <c r="C27" s="64"/>
      <c r="D27" s="64"/>
      <c r="E27" s="64"/>
      <c r="F27" s="64"/>
      <c r="G27" s="64"/>
      <c r="H27" s="64"/>
      <c r="I27" s="64"/>
      <c r="J27" s="64"/>
      <c r="K27" s="233"/>
      <c r="L27" s="561"/>
      <c r="M27" s="65"/>
      <c r="N27" s="65"/>
      <c r="O27" s="65"/>
      <c r="P27" s="65"/>
      <c r="Q27" s="404"/>
      <c r="R27" s="561"/>
      <c r="S27" s="64"/>
      <c r="T27" s="64"/>
      <c r="U27" s="187"/>
      <c r="V27" s="187"/>
      <c r="W27" s="64"/>
      <c r="X27" s="64"/>
      <c r="Y27" s="64"/>
      <c r="Z27" s="233"/>
      <c r="AA27" s="561"/>
      <c r="AB27" s="404"/>
      <c r="AC27" s="64"/>
      <c r="AD27" s="65"/>
      <c r="AE27" s="404"/>
      <c r="AF27" s="561"/>
      <c r="AG27" s="561"/>
      <c r="AH27" s="540"/>
      <c r="AJ27" s="401"/>
    </row>
    <row r="28" spans="1:36">
      <c r="A28" s="152" t="s">
        <v>223</v>
      </c>
      <c r="B28" s="66">
        <f t="shared" ref="B28:K28" si="22">B$10/$L$10*$L28</f>
        <v>0.90427051242417633</v>
      </c>
      <c r="C28" s="66">
        <f t="shared" si="22"/>
        <v>2.6044997272459823E-3</v>
      </c>
      <c r="D28" s="66">
        <f t="shared" si="22"/>
        <v>1.6898327882462888E-4</v>
      </c>
      <c r="E28" s="66">
        <f t="shared" si="22"/>
        <v>2.8763111289298532E-4</v>
      </c>
      <c r="F28" s="66">
        <f t="shared" si="22"/>
        <v>3.1639422418228387E-5</v>
      </c>
      <c r="G28" s="66">
        <f t="shared" si="22"/>
        <v>7.8451386041561747E-4</v>
      </c>
      <c r="H28" s="66">
        <f t="shared" si="22"/>
        <v>3.2480743423440365E-3</v>
      </c>
      <c r="I28" s="66">
        <f t="shared" si="22"/>
        <v>2.5577596714008717E-3</v>
      </c>
      <c r="J28" s="66">
        <f t="shared" si="22"/>
        <v>2.2003780136313375E-4</v>
      </c>
      <c r="K28" s="234">
        <f t="shared" si="22"/>
        <v>5.9446160257157739E-3</v>
      </c>
      <c r="L28" s="559">
        <v>0.92011826766679761</v>
      </c>
      <c r="M28" s="67">
        <f t="shared" ref="M28:N28" si="23">M$10/$R$10*$R28</f>
        <v>6.0538960433723567E-2</v>
      </c>
      <c r="N28" s="67">
        <f t="shared" si="23"/>
        <v>9.6585715205608842E-6</v>
      </c>
      <c r="O28" s="67">
        <f>O$10/$R$10*$R28</f>
        <v>3.3747048892839729E-3</v>
      </c>
      <c r="P28" s="67">
        <f>P$10/$R$10*$R28</f>
        <v>7.7268572164487074E-5</v>
      </c>
      <c r="Q28" s="427">
        <f>Q$10/$R$10*$R28</f>
        <v>2.5112285953458296E-5</v>
      </c>
      <c r="R28" s="559">
        <v>6.4025704752646045E-2</v>
      </c>
      <c r="S28" s="66">
        <f t="shared" ref="S28:Z28" si="24">S$10/$AA$10*$AA28</f>
        <v>1.0465645754082511E-2</v>
      </c>
      <c r="T28" s="66">
        <f t="shared" si="24"/>
        <v>2.2534510088507707E-4</v>
      </c>
      <c r="U28" s="66">
        <f t="shared" si="24"/>
        <v>1.0321149658858492E-5</v>
      </c>
      <c r="V28" s="66">
        <f t="shared" si="24"/>
        <v>1.9954222673793082E-4</v>
      </c>
      <c r="W28" s="66">
        <f t="shared" si="24"/>
        <v>1.0321149658858492E-5</v>
      </c>
      <c r="X28" s="66">
        <f t="shared" si="24"/>
        <v>8.0275608457788266E-6</v>
      </c>
      <c r="Y28" s="66">
        <f t="shared" si="24"/>
        <v>4.0137804228894133E-6</v>
      </c>
      <c r="Z28" s="234">
        <f t="shared" si="24"/>
        <v>1.8348710504637317E-5</v>
      </c>
      <c r="AA28" s="559">
        <v>1.094156543279654E-2</v>
      </c>
      <c r="AB28" s="227">
        <f>AB$10/$AF$10*$AF28</f>
        <v>2.3605355804167663E-4</v>
      </c>
      <c r="AC28" s="66">
        <f>AC$10/$AF$10*$AF28</f>
        <v>1.0547073869947254E-5</v>
      </c>
      <c r="AD28" s="67">
        <f>AD$10/$AF$10*$AF28</f>
        <v>1.744285121444134E-3</v>
      </c>
      <c r="AE28" s="227">
        <f>AE$10/$AF$10*$AF28</f>
        <v>2.5112080642731556E-6</v>
      </c>
      <c r="AF28" s="559">
        <v>1.993396961420031E-3</v>
      </c>
      <c r="AG28" s="559">
        <v>2.9210651863397176E-3</v>
      </c>
      <c r="AH28" s="537">
        <f>L28+R28+AA28+AF28+AG28</f>
        <v>0.99999999999999989</v>
      </c>
      <c r="AJ28" s="401"/>
    </row>
    <row r="29" spans="1:36">
      <c r="A29" s="423"/>
      <c r="B29" s="64"/>
      <c r="C29" s="64"/>
      <c r="D29" s="64"/>
      <c r="E29" s="64"/>
      <c r="F29" s="64"/>
      <c r="G29" s="64"/>
      <c r="H29" s="64"/>
      <c r="I29" s="64"/>
      <c r="J29" s="64"/>
      <c r="K29" s="233"/>
      <c r="L29" s="561"/>
      <c r="M29" s="65"/>
      <c r="N29" s="65"/>
      <c r="O29" s="65"/>
      <c r="P29" s="65"/>
      <c r="Q29" s="404"/>
      <c r="R29" s="561"/>
      <c r="S29" s="64"/>
      <c r="T29" s="64"/>
      <c r="U29" s="187"/>
      <c r="V29" s="187"/>
      <c r="W29" s="64"/>
      <c r="X29" s="64"/>
      <c r="Y29" s="64"/>
      <c r="Z29" s="233"/>
      <c r="AA29" s="561"/>
      <c r="AB29" s="225"/>
      <c r="AC29" s="64"/>
      <c r="AD29" s="65"/>
      <c r="AE29" s="225"/>
      <c r="AF29" s="561"/>
      <c r="AG29" s="561"/>
      <c r="AH29" s="540"/>
      <c r="AJ29" s="401"/>
    </row>
    <row r="30" spans="1:36">
      <c r="A30" s="421" t="s">
        <v>164</v>
      </c>
      <c r="B30" s="66">
        <f t="shared" ref="B30:K30" si="25">B$10/$L$10*$L30</f>
        <v>0.90427051242417633</v>
      </c>
      <c r="C30" s="66">
        <f t="shared" si="25"/>
        <v>2.6044997272459823E-3</v>
      </c>
      <c r="D30" s="66">
        <f t="shared" si="25"/>
        <v>1.6898327882462888E-4</v>
      </c>
      <c r="E30" s="66">
        <f t="shared" si="25"/>
        <v>2.8763111289298532E-4</v>
      </c>
      <c r="F30" s="66">
        <f t="shared" si="25"/>
        <v>3.1639422418228387E-5</v>
      </c>
      <c r="G30" s="66">
        <f t="shared" si="25"/>
        <v>7.8451386041561747E-4</v>
      </c>
      <c r="H30" s="66">
        <f t="shared" si="25"/>
        <v>3.2480743423440365E-3</v>
      </c>
      <c r="I30" s="66">
        <f t="shared" si="25"/>
        <v>2.5577596714008717E-3</v>
      </c>
      <c r="J30" s="66">
        <f t="shared" si="25"/>
        <v>2.2003780136313375E-4</v>
      </c>
      <c r="K30" s="234">
        <f t="shared" si="25"/>
        <v>5.9446160257157739E-3</v>
      </c>
      <c r="L30" s="559">
        <v>0.92011826766679761</v>
      </c>
      <c r="M30" s="67">
        <f t="shared" ref="M30:N30" si="26">M$10/$R$10*$R30</f>
        <v>6.0538960433723567E-2</v>
      </c>
      <c r="N30" s="67">
        <f t="shared" si="26"/>
        <v>9.6585715205608842E-6</v>
      </c>
      <c r="O30" s="67">
        <f>O$10/$R$10*$R30</f>
        <v>3.3747048892839729E-3</v>
      </c>
      <c r="P30" s="67">
        <f>P$10/$R$10*$R30</f>
        <v>7.7268572164487074E-5</v>
      </c>
      <c r="Q30" s="427">
        <f>Q$10/$R$10*$R30</f>
        <v>2.5112285953458296E-5</v>
      </c>
      <c r="R30" s="559">
        <v>6.4025704752646045E-2</v>
      </c>
      <c r="S30" s="66">
        <f t="shared" ref="S30:Z30" si="27">S$10/$AA$10*$AA30</f>
        <v>1.0465645754082511E-2</v>
      </c>
      <c r="T30" s="66">
        <f t="shared" si="27"/>
        <v>2.2534510088507707E-4</v>
      </c>
      <c r="U30" s="66">
        <f t="shared" si="27"/>
        <v>1.0321149658858492E-5</v>
      </c>
      <c r="V30" s="66">
        <f t="shared" si="27"/>
        <v>1.9954222673793082E-4</v>
      </c>
      <c r="W30" s="66">
        <f t="shared" si="27"/>
        <v>1.0321149658858492E-5</v>
      </c>
      <c r="X30" s="66">
        <f t="shared" si="27"/>
        <v>8.0275608457788266E-6</v>
      </c>
      <c r="Y30" s="66">
        <f t="shared" si="27"/>
        <v>4.0137804228894133E-6</v>
      </c>
      <c r="Z30" s="234">
        <f t="shared" si="27"/>
        <v>1.8348710504637317E-5</v>
      </c>
      <c r="AA30" s="559">
        <v>1.094156543279654E-2</v>
      </c>
      <c r="AB30" s="227">
        <f>AB$10/$AF$10*$AF30</f>
        <v>2.3605355804167663E-4</v>
      </c>
      <c r="AC30" s="66">
        <f>AC$10/$AF$10*$AF30</f>
        <v>1.0547073869947254E-5</v>
      </c>
      <c r="AD30" s="67">
        <f>AD$10/$AF$10*$AF30</f>
        <v>1.744285121444134E-3</v>
      </c>
      <c r="AE30" s="227">
        <f>AE$10/$AF$10*$AF30</f>
        <v>2.5112080642731556E-6</v>
      </c>
      <c r="AF30" s="559">
        <v>1.993396961420031E-3</v>
      </c>
      <c r="AG30" s="559">
        <v>2.9210651863397176E-3</v>
      </c>
      <c r="AH30" s="537">
        <f>L30+R30+AA30+AF30+AG30</f>
        <v>0.99999999999999989</v>
      </c>
      <c r="AI30" s="58"/>
      <c r="AJ30" s="401"/>
    </row>
    <row r="31" spans="1:36">
      <c r="A31" s="421"/>
      <c r="B31" s="66"/>
      <c r="C31" s="66"/>
      <c r="D31" s="66"/>
      <c r="E31" s="66"/>
      <c r="F31" s="66"/>
      <c r="G31" s="66"/>
      <c r="H31" s="66"/>
      <c r="I31" s="66"/>
      <c r="J31" s="66"/>
      <c r="K31" s="234"/>
      <c r="L31" s="559"/>
      <c r="M31" s="67"/>
      <c r="N31" s="67"/>
      <c r="O31" s="67"/>
      <c r="P31" s="67"/>
      <c r="Q31" s="427"/>
      <c r="R31" s="559"/>
      <c r="S31" s="66"/>
      <c r="T31" s="66"/>
      <c r="U31" s="186"/>
      <c r="V31" s="186"/>
      <c r="W31" s="66"/>
      <c r="X31" s="66"/>
      <c r="Y31" s="66"/>
      <c r="Z31" s="234"/>
      <c r="AA31" s="559"/>
      <c r="AB31" s="227"/>
      <c r="AC31" s="66"/>
      <c r="AD31" s="67"/>
      <c r="AE31" s="227"/>
      <c r="AF31" s="559"/>
      <c r="AG31" s="559"/>
      <c r="AH31" s="537"/>
      <c r="AI31" s="58"/>
      <c r="AJ31" s="401"/>
    </row>
    <row r="32" spans="1:36">
      <c r="A32" s="421" t="s">
        <v>442</v>
      </c>
      <c r="B32" s="66">
        <f t="shared" ref="B32:K32" si="28">B$10/$L$10*$L32</f>
        <v>4.2430316554279528E-2</v>
      </c>
      <c r="C32" s="66">
        <f t="shared" si="28"/>
        <v>1.2220872667441761E-4</v>
      </c>
      <c r="D32" s="66">
        <f t="shared" si="28"/>
        <v>7.9290587433705515E-6</v>
      </c>
      <c r="E32" s="66">
        <f t="shared" si="28"/>
        <v>1.349627020148179E-5</v>
      </c>
      <c r="F32" s="66">
        <f t="shared" si="28"/>
        <v>1.484589722162997E-6</v>
      </c>
      <c r="G32" s="66">
        <f t="shared" si="28"/>
        <v>3.6811076974541579E-5</v>
      </c>
      <c r="H32" s="66">
        <f t="shared" si="28"/>
        <v>1.5240663125023311E-4</v>
      </c>
      <c r="I32" s="66">
        <f t="shared" si="28"/>
        <v>1.2001558276667682E-4</v>
      </c>
      <c r="J32" s="66">
        <f t="shared" si="28"/>
        <v>1.0324646704133568E-5</v>
      </c>
      <c r="K32" s="234">
        <f t="shared" si="28"/>
        <v>2.7893416438912487E-4</v>
      </c>
      <c r="L32" s="559">
        <v>4.3173927301705675E-2</v>
      </c>
      <c r="M32" s="67">
        <f t="shared" ref="M32:N32" si="29">M$10/$R$10*$R32</f>
        <v>9.2291816488875411E-2</v>
      </c>
      <c r="N32" s="67">
        <f t="shared" si="29"/>
        <v>1.472451961404544E-5</v>
      </c>
      <c r="O32" s="67">
        <f>O$10/$R$10*$R32</f>
        <v>5.1447471531474763E-3</v>
      </c>
      <c r="P32" s="67">
        <f>P$10/$R$10*$R32</f>
        <v>1.1779615691236352E-4</v>
      </c>
      <c r="Q32" s="427">
        <f>Q$10/$R$10*$R32</f>
        <v>3.8283750996518139E-5</v>
      </c>
      <c r="R32" s="559">
        <v>9.7607368069545813E-2</v>
      </c>
      <c r="S32" s="66">
        <f t="shared" ref="S32:Z32" si="30">S$10/$AA$10*$AA32</f>
        <v>0.80703746793969167</v>
      </c>
      <c r="T32" s="66">
        <f t="shared" si="30"/>
        <v>1.7377039497057795E-2</v>
      </c>
      <c r="U32" s="66">
        <f t="shared" si="30"/>
        <v>7.9589493879654008E-4</v>
      </c>
      <c r="V32" s="66">
        <f t="shared" si="30"/>
        <v>1.538730215006644E-2</v>
      </c>
      <c r="W32" s="66">
        <f t="shared" si="30"/>
        <v>7.9589493879654008E-4</v>
      </c>
      <c r="X32" s="66">
        <f t="shared" si="30"/>
        <v>6.1902939684175347E-4</v>
      </c>
      <c r="Y32" s="66">
        <f t="shared" si="30"/>
        <v>3.0951469842087673E-4</v>
      </c>
      <c r="Z32" s="234">
        <f t="shared" si="30"/>
        <v>1.4149243356382935E-3</v>
      </c>
      <c r="AA32" s="559">
        <v>0.84373706789530989</v>
      </c>
      <c r="AB32" s="227">
        <f>AB$10/$AF$10*$AF32</f>
        <v>1.4439841212713119E-3</v>
      </c>
      <c r="AC32" s="66">
        <f>AC$10/$AF$10*$AF32</f>
        <v>6.4518439461058616E-5</v>
      </c>
      <c r="AD32" s="67">
        <f>AD$10/$AF$10*$AF32</f>
        <v>1.0670120964202695E-2</v>
      </c>
      <c r="AE32" s="227">
        <f>AE$10/$AF$10*$AF32</f>
        <v>1.5361533205013956E-5</v>
      </c>
      <c r="AF32" s="559">
        <v>1.2193985058140079E-2</v>
      </c>
      <c r="AG32" s="559">
        <v>3.287651675298508E-3</v>
      </c>
      <c r="AH32" s="537">
        <f>L32+R32+AA32+AF32+AG32</f>
        <v>1</v>
      </c>
      <c r="AI32" s="58"/>
      <c r="AJ32" s="401"/>
    </row>
    <row r="33" spans="1:36">
      <c r="A33" s="421"/>
      <c r="B33" s="66"/>
      <c r="C33" s="66"/>
      <c r="D33" s="66"/>
      <c r="E33" s="66"/>
      <c r="F33" s="66"/>
      <c r="G33" s="66"/>
      <c r="H33" s="66"/>
      <c r="I33" s="66"/>
      <c r="J33" s="66"/>
      <c r="K33" s="234"/>
      <c r="L33" s="559"/>
      <c r="M33" s="67"/>
      <c r="N33" s="67"/>
      <c r="O33" s="67"/>
      <c r="P33" s="67"/>
      <c r="Q33" s="427"/>
      <c r="R33" s="559"/>
      <c r="S33" s="66"/>
      <c r="T33" s="66"/>
      <c r="U33" s="186"/>
      <c r="V33" s="186"/>
      <c r="W33" s="66"/>
      <c r="X33" s="66"/>
      <c r="Y33" s="66"/>
      <c r="Z33" s="234"/>
      <c r="AA33" s="559"/>
      <c r="AB33" s="227"/>
      <c r="AC33" s="66"/>
      <c r="AD33" s="67"/>
      <c r="AE33" s="227"/>
      <c r="AF33" s="559"/>
      <c r="AG33" s="559"/>
      <c r="AH33" s="537"/>
      <c r="AI33" s="58"/>
      <c r="AJ33" s="401"/>
    </row>
    <row r="34" spans="1:36">
      <c r="A34" s="421" t="s">
        <v>443</v>
      </c>
      <c r="B34" s="66">
        <f t="shared" ref="B34:K34" si="31">B$10/$L$10*$L34</f>
        <v>0.87548518431218492</v>
      </c>
      <c r="C34" s="66">
        <f t="shared" si="31"/>
        <v>2.5215915950153032E-3</v>
      </c>
      <c r="D34" s="66">
        <f t="shared" si="31"/>
        <v>1.6360409299519496E-4</v>
      </c>
      <c r="E34" s="66">
        <f t="shared" si="31"/>
        <v>2.7847505190671485E-4</v>
      </c>
      <c r="F34" s="66">
        <f t="shared" si="31"/>
        <v>3.0632255709738636E-5</v>
      </c>
      <c r="G34" s="66">
        <f t="shared" si="31"/>
        <v>7.5954070407556473E-4</v>
      </c>
      <c r="H34" s="66">
        <f t="shared" si="31"/>
        <v>3.1446795236565769E-3</v>
      </c>
      <c r="I34" s="66">
        <f t="shared" si="31"/>
        <v>2.4763393990804615E-3</v>
      </c>
      <c r="J34" s="66">
        <f t="shared" si="31"/>
        <v>2.1303341470863685E-4</v>
      </c>
      <c r="K34" s="234">
        <f t="shared" si="31"/>
        <v>5.7553831352820288E-3</v>
      </c>
      <c r="L34" s="559">
        <v>0.8908284634846152</v>
      </c>
      <c r="M34" s="67">
        <f t="shared" ref="M34:N34" si="32">M$10/$R$10*$R34</f>
        <v>8.2663915712166081E-2</v>
      </c>
      <c r="N34" s="67">
        <f t="shared" si="32"/>
        <v>1.3188454779458205E-5</v>
      </c>
      <c r="O34" s="67">
        <f>O$10/$R$10*$R34</f>
        <v>4.6080460999426967E-3</v>
      </c>
      <c r="P34" s="67">
        <f>P$10/$R$10*$R34</f>
        <v>1.0550763823566564E-4</v>
      </c>
      <c r="Q34" s="427">
        <f>Q$10/$R$10*$R34</f>
        <v>3.4289982426591328E-5</v>
      </c>
      <c r="R34" s="559">
        <v>8.7424947887550494E-2</v>
      </c>
      <c r="S34" s="66">
        <f t="shared" ref="S34:Z34" si="33">S$10/$AA$10*$AA34</f>
        <v>1.4372859823638647E-2</v>
      </c>
      <c r="T34" s="66">
        <f t="shared" si="33"/>
        <v>3.0947479238932653E-4</v>
      </c>
      <c r="U34" s="66">
        <f t="shared" si="33"/>
        <v>1.4174417972030224E-5</v>
      </c>
      <c r="V34" s="66">
        <f t="shared" si="33"/>
        <v>2.7403874745925096E-4</v>
      </c>
      <c r="W34" s="66">
        <f t="shared" si="33"/>
        <v>1.4174417972030224E-5</v>
      </c>
      <c r="X34" s="66">
        <f t="shared" si="33"/>
        <v>1.1024547311579063E-5</v>
      </c>
      <c r="Y34" s="66">
        <f t="shared" si="33"/>
        <v>5.5122736557895317E-6</v>
      </c>
      <c r="Z34" s="234">
        <f t="shared" si="33"/>
        <v>2.5198965283609285E-5</v>
      </c>
      <c r="AA34" s="559">
        <v>1.5026457985682262E-2</v>
      </c>
      <c r="AB34" s="227">
        <f>AB$10/$AF$10*$AF34</f>
        <v>3.2261910198911367E-4</v>
      </c>
      <c r="AC34" s="66">
        <f>AC$10/$AF$10*$AF34</f>
        <v>1.44148960463221E-5</v>
      </c>
      <c r="AD34" s="67">
        <f>AD$10/$AF$10*$AF34</f>
        <v>2.3839492366131742E-3</v>
      </c>
      <c r="AE34" s="227">
        <f>AE$10/$AF$10*$AF34</f>
        <v>3.4321181062671664E-6</v>
      </c>
      <c r="AF34" s="559">
        <v>2.724415352754877E-3</v>
      </c>
      <c r="AG34" s="559">
        <v>3.995715289397175E-3</v>
      </c>
      <c r="AH34" s="537">
        <f>L34+R34+AA34+AF34+AG34</f>
        <v>1</v>
      </c>
      <c r="AI34" s="58"/>
      <c r="AJ34" s="401"/>
    </row>
    <row r="35" spans="1:36">
      <c r="A35" s="421"/>
      <c r="B35" s="66"/>
      <c r="C35" s="66"/>
      <c r="D35" s="66"/>
      <c r="E35" s="66"/>
      <c r="F35" s="66"/>
      <c r="G35" s="66"/>
      <c r="H35" s="66"/>
      <c r="I35" s="66"/>
      <c r="J35" s="66"/>
      <c r="K35" s="234"/>
      <c r="L35" s="559"/>
      <c r="M35" s="67"/>
      <c r="N35" s="67"/>
      <c r="O35" s="67"/>
      <c r="P35" s="67"/>
      <c r="Q35" s="427"/>
      <c r="R35" s="559"/>
      <c r="S35" s="66"/>
      <c r="T35" s="66"/>
      <c r="U35" s="66"/>
      <c r="V35" s="66"/>
      <c r="W35" s="66"/>
      <c r="X35" s="66"/>
      <c r="Y35" s="66"/>
      <c r="Z35" s="234"/>
      <c r="AA35" s="559"/>
      <c r="AB35" s="227"/>
      <c r="AC35" s="66"/>
      <c r="AD35" s="67"/>
      <c r="AE35" s="227"/>
      <c r="AF35" s="559"/>
      <c r="AG35" s="559"/>
      <c r="AH35" s="537"/>
      <c r="AI35" s="58"/>
      <c r="AJ35" s="401"/>
    </row>
    <row r="36" spans="1:36">
      <c r="A36" s="421" t="s">
        <v>445</v>
      </c>
      <c r="B36" s="66">
        <f t="shared" ref="B36:K36" si="34">B$10/$L$10*$L36</f>
        <v>0.52408804283979937</v>
      </c>
      <c r="C36" s="66">
        <f t="shared" si="34"/>
        <v>1.5094898549438138E-3</v>
      </c>
      <c r="D36" s="66">
        <f t="shared" si="34"/>
        <v>9.7937635536111592E-5</v>
      </c>
      <c r="E36" s="66">
        <f t="shared" si="34"/>
        <v>1.6670235835933891E-4</v>
      </c>
      <c r="F36" s="66">
        <f t="shared" si="34"/>
        <v>1.833725941952728E-5</v>
      </c>
      <c r="G36" s="66">
        <f t="shared" si="34"/>
        <v>4.5468068242509685E-4</v>
      </c>
      <c r="H36" s="66">
        <f t="shared" si="34"/>
        <v>1.8824863817728343E-3</v>
      </c>
      <c r="I36" s="66">
        <f t="shared" si="34"/>
        <v>1.4824007217104211E-3</v>
      </c>
      <c r="J36" s="66">
        <f t="shared" si="34"/>
        <v>1.2752730414489425E-4</v>
      </c>
      <c r="K36" s="234">
        <f t="shared" si="34"/>
        <v>3.4453209913916367E-3</v>
      </c>
      <c r="L36" s="559">
        <v>0.53327292602950305</v>
      </c>
      <c r="M36" s="67">
        <f t="shared" ref="M36:N36" si="35">M$10/$R$10*$R36</f>
        <v>8.5860549536673464E-2</v>
      </c>
      <c r="N36" s="67">
        <f t="shared" si="35"/>
        <v>1.3698455549174917E-5</v>
      </c>
      <c r="O36" s="67">
        <f>O$10/$R$10*$R36</f>
        <v>4.7862403688817157E-3</v>
      </c>
      <c r="P36" s="67">
        <f>P$10/$R$10*$R36</f>
        <v>1.0958764439339934E-4</v>
      </c>
      <c r="Q36" s="427">
        <f>Q$10/$R$10*$R36</f>
        <v>3.5615984427854782E-5</v>
      </c>
      <c r="R36" s="559">
        <v>9.0805691989925608E-2</v>
      </c>
      <c r="S36" s="66">
        <f t="shared" ref="S36:Z36" si="36">S$10/$AA$10*$AA36</f>
        <v>0.343393489966972</v>
      </c>
      <c r="T36" s="66">
        <f t="shared" si="36"/>
        <v>7.3939097938319088E-3</v>
      </c>
      <c r="U36" s="66">
        <f t="shared" si="36"/>
        <v>3.3865235696940038E-4</v>
      </c>
      <c r="V36" s="66">
        <f t="shared" si="36"/>
        <v>6.5472789014084064E-3</v>
      </c>
      <c r="W36" s="66">
        <f t="shared" si="36"/>
        <v>3.3865235696940038E-4</v>
      </c>
      <c r="X36" s="66">
        <f t="shared" si="36"/>
        <v>2.6339627764286697E-4</v>
      </c>
      <c r="Y36" s="66">
        <f t="shared" si="36"/>
        <v>1.3169813882143349E-4</v>
      </c>
      <c r="Z36" s="234">
        <f t="shared" si="36"/>
        <v>6.0204863461226735E-4</v>
      </c>
      <c r="AA36" s="559">
        <v>0.35900912642722765</v>
      </c>
      <c r="AB36" s="227">
        <f>AB$10/$AF$10*$AF36</f>
        <v>1.5031123319009091E-3</v>
      </c>
      <c r="AC36" s="66">
        <f>AC$10/$AF$10*$AF36</f>
        <v>6.716033823387041E-5</v>
      </c>
      <c r="AD36" s="67">
        <f>AD$10/$AF$10*$AF36</f>
        <v>1.1107040699344378E-2</v>
      </c>
      <c r="AE36" s="227">
        <f>AE$10/$AF$10*$AF36</f>
        <v>1.5990556722350096E-5</v>
      </c>
      <c r="AF36" s="559">
        <v>1.2693303926201507E-2</v>
      </c>
      <c r="AG36" s="559">
        <v>4.2189516271421215E-3</v>
      </c>
      <c r="AH36" s="537">
        <f>L36+R36+AA36+AF36+AG36</f>
        <v>1</v>
      </c>
      <c r="AI36" s="58"/>
      <c r="AJ36" s="401"/>
    </row>
    <row r="37" spans="1:36">
      <c r="A37" s="421"/>
      <c r="B37" s="66"/>
      <c r="C37" s="66"/>
      <c r="D37" s="66"/>
      <c r="E37" s="66"/>
      <c r="F37" s="66"/>
      <c r="G37" s="66"/>
      <c r="H37" s="66"/>
      <c r="I37" s="66"/>
      <c r="J37" s="66"/>
      <c r="K37" s="234"/>
      <c r="L37" s="559"/>
      <c r="M37" s="67"/>
      <c r="N37" s="67"/>
      <c r="O37" s="67"/>
      <c r="P37" s="67"/>
      <c r="Q37" s="427"/>
      <c r="R37" s="559"/>
      <c r="S37" s="66"/>
      <c r="T37" s="66"/>
      <c r="U37" s="66"/>
      <c r="V37" s="66"/>
      <c r="W37" s="66"/>
      <c r="X37" s="66"/>
      <c r="Y37" s="66"/>
      <c r="Z37" s="234"/>
      <c r="AA37" s="559"/>
      <c r="AB37" s="227"/>
      <c r="AC37" s="66"/>
      <c r="AD37" s="67"/>
      <c r="AE37" s="227"/>
      <c r="AF37" s="559"/>
      <c r="AG37" s="559"/>
      <c r="AH37" s="537"/>
      <c r="AI37" s="58"/>
      <c r="AJ37" s="401"/>
    </row>
    <row r="38" spans="1:36">
      <c r="A38" s="787" t="s">
        <v>444</v>
      </c>
      <c r="B38" s="66">
        <f t="shared" ref="B38:K38" si="37">B$10/$L$10*$L38</f>
        <v>0.66399500081439822</v>
      </c>
      <c r="C38" s="66">
        <f t="shared" si="37"/>
        <v>1.9124529383112059E-3</v>
      </c>
      <c r="D38" s="66">
        <f t="shared" si="37"/>
        <v>1.2408239660495121E-4</v>
      </c>
      <c r="E38" s="66">
        <f t="shared" si="37"/>
        <v>2.1120407932757656E-4</v>
      </c>
      <c r="F38" s="66">
        <f t="shared" si="37"/>
        <v>2.3232448726033423E-5</v>
      </c>
      <c r="G38" s="66">
        <f t="shared" si="37"/>
        <v>5.7605912636596508E-4</v>
      </c>
      <c r="H38" s="66">
        <f t="shared" si="37"/>
        <v>2.385022065806658E-3</v>
      </c>
      <c r="I38" s="66">
        <f t="shared" si="37"/>
        <v>1.8781322754204744E-3</v>
      </c>
      <c r="J38" s="66">
        <f t="shared" si="37"/>
        <v>1.6157112068559607E-4</v>
      </c>
      <c r="K38" s="234">
        <f t="shared" si="37"/>
        <v>4.3650603095026887E-3</v>
      </c>
      <c r="L38" s="559">
        <v>0.67563181757514934</v>
      </c>
      <c r="M38" s="67">
        <f t="shared" ref="M38:N38" si="38">M$10/$R$10*$R38</f>
        <v>0.13127345165038473</v>
      </c>
      <c r="N38" s="67">
        <f t="shared" si="38"/>
        <v>2.0943769308761263E-5</v>
      </c>
      <c r="O38" s="67">
        <f>O$10/$R$10*$R38</f>
        <v>7.3177529964811852E-3</v>
      </c>
      <c r="P38" s="67">
        <f>P$10/$R$10*$R38</f>
        <v>1.675501544700901E-4</v>
      </c>
      <c r="Q38" s="427">
        <f>Q$10/$R$10*$R38</f>
        <v>5.4453800202779278E-5</v>
      </c>
      <c r="R38" s="559">
        <v>0.13883415237084754</v>
      </c>
      <c r="S38" s="66">
        <f t="shared" ref="S38:Z38" si="39">S$10/$AA$10*$AA38</f>
        <v>0.16295651994654012</v>
      </c>
      <c r="T38" s="66">
        <f t="shared" si="39"/>
        <v>3.5087613597956538E-3</v>
      </c>
      <c r="U38" s="66">
        <f t="shared" si="39"/>
        <v>1.6070662716621313E-4</v>
      </c>
      <c r="V38" s="66">
        <f t="shared" si="39"/>
        <v>3.1069947918801206E-3</v>
      </c>
      <c r="W38" s="66">
        <f t="shared" si="39"/>
        <v>1.6070662716621313E-4</v>
      </c>
      <c r="X38" s="66">
        <f t="shared" si="39"/>
        <v>1.2499404335149911E-4</v>
      </c>
      <c r="Y38" s="66">
        <f t="shared" si="39"/>
        <v>6.2497021675749555E-5</v>
      </c>
      <c r="Z38" s="234">
        <f t="shared" si="39"/>
        <v>2.8570067051771221E-4</v>
      </c>
      <c r="AA38" s="559">
        <v>0.17036688108809328</v>
      </c>
      <c r="AB38" s="227">
        <f>AB$10/$AF$10*$AF38</f>
        <v>1.3946998027595833E-3</v>
      </c>
      <c r="AC38" s="66">
        <f>AC$10/$AF$10*$AF38</f>
        <v>6.2316374165853714E-5</v>
      </c>
      <c r="AD38" s="67">
        <f>AD$10/$AF$10*$AF38</f>
        <v>1.0305941308476667E-2</v>
      </c>
      <c r="AE38" s="227">
        <f>AE$10/$AF$10*$AF38</f>
        <v>1.4837231944250887E-5</v>
      </c>
      <c r="AF38" s="559">
        <v>1.1777794717346354E-2</v>
      </c>
      <c r="AG38" s="559">
        <v>3.3893542485635168E-3</v>
      </c>
      <c r="AH38" s="537">
        <f>L38+R38+AA38+AF38+AG38</f>
        <v>1</v>
      </c>
      <c r="AI38" s="58"/>
      <c r="AJ38" s="401"/>
    </row>
    <row r="39" spans="1:36">
      <c r="A39" s="33"/>
      <c r="B39" s="66"/>
      <c r="C39" s="66"/>
      <c r="D39" s="66"/>
      <c r="E39" s="66"/>
      <c r="F39" s="66"/>
      <c r="G39" s="66"/>
      <c r="H39" s="66"/>
      <c r="I39" s="66"/>
      <c r="J39" s="66"/>
      <c r="K39" s="234"/>
      <c r="L39" s="559"/>
      <c r="M39" s="67"/>
      <c r="N39" s="67"/>
      <c r="O39" s="67"/>
      <c r="P39" s="67"/>
      <c r="Q39" s="427"/>
      <c r="R39" s="559"/>
      <c r="S39" s="66"/>
      <c r="T39" s="66"/>
      <c r="U39" s="66"/>
      <c r="V39" s="66"/>
      <c r="W39" s="66"/>
      <c r="X39" s="66"/>
      <c r="Y39" s="66"/>
      <c r="Z39" s="234"/>
      <c r="AA39" s="559"/>
      <c r="AB39" s="227"/>
      <c r="AC39" s="66"/>
      <c r="AD39" s="67"/>
      <c r="AE39" s="227"/>
      <c r="AF39" s="559"/>
      <c r="AG39" s="559"/>
      <c r="AH39" s="537"/>
      <c r="AI39" s="58"/>
      <c r="AJ39" s="401"/>
    </row>
    <row r="40" spans="1:36">
      <c r="A40" s="787" t="s">
        <v>221</v>
      </c>
      <c r="B40" s="66">
        <f t="shared" ref="B40:K40" si="40">B$10/$L$10*$L40</f>
        <v>0.66399500081439822</v>
      </c>
      <c r="C40" s="66">
        <f t="shared" si="40"/>
        <v>1.9124529383112059E-3</v>
      </c>
      <c r="D40" s="66">
        <f t="shared" si="40"/>
        <v>1.2408239660495121E-4</v>
      </c>
      <c r="E40" s="66">
        <f t="shared" si="40"/>
        <v>2.1120407932757656E-4</v>
      </c>
      <c r="F40" s="66">
        <f t="shared" si="40"/>
        <v>2.3232448726033423E-5</v>
      </c>
      <c r="G40" s="66">
        <f t="shared" si="40"/>
        <v>5.7605912636596508E-4</v>
      </c>
      <c r="H40" s="66">
        <f t="shared" si="40"/>
        <v>2.385022065806658E-3</v>
      </c>
      <c r="I40" s="66">
        <f t="shared" si="40"/>
        <v>1.8781322754204744E-3</v>
      </c>
      <c r="J40" s="66">
        <f t="shared" si="40"/>
        <v>1.6157112068559607E-4</v>
      </c>
      <c r="K40" s="234">
        <f t="shared" si="40"/>
        <v>4.3650603095026887E-3</v>
      </c>
      <c r="L40" s="559">
        <v>0.67563181757514934</v>
      </c>
      <c r="M40" s="67">
        <f t="shared" ref="M40:N40" si="41">M$10/$R$10*$R40</f>
        <v>0.13127345165038473</v>
      </c>
      <c r="N40" s="67">
        <f t="shared" si="41"/>
        <v>2.0943769308761263E-5</v>
      </c>
      <c r="O40" s="67">
        <f>O$10/$R$10*$R40</f>
        <v>7.3177529964811852E-3</v>
      </c>
      <c r="P40" s="67">
        <f>P$10/$R$10*$R40</f>
        <v>1.675501544700901E-4</v>
      </c>
      <c r="Q40" s="427">
        <f>Q$10/$R$10*$R40</f>
        <v>5.4453800202779278E-5</v>
      </c>
      <c r="R40" s="559">
        <v>0.13883415237084754</v>
      </c>
      <c r="S40" s="66">
        <f t="shared" ref="S40:Z40" si="42">S$10/$AA$10*$AA40</f>
        <v>0.16295651994654012</v>
      </c>
      <c r="T40" s="66">
        <f t="shared" si="42"/>
        <v>3.5087613597956538E-3</v>
      </c>
      <c r="U40" s="66">
        <f t="shared" si="42"/>
        <v>1.6070662716621313E-4</v>
      </c>
      <c r="V40" s="66">
        <f t="shared" si="42"/>
        <v>3.1069947918801206E-3</v>
      </c>
      <c r="W40" s="66">
        <f t="shared" si="42"/>
        <v>1.6070662716621313E-4</v>
      </c>
      <c r="X40" s="66">
        <f t="shared" si="42"/>
        <v>1.2499404335149911E-4</v>
      </c>
      <c r="Y40" s="66">
        <f t="shared" si="42"/>
        <v>6.2497021675749555E-5</v>
      </c>
      <c r="Z40" s="234">
        <f t="shared" si="42"/>
        <v>2.8570067051771221E-4</v>
      </c>
      <c r="AA40" s="559">
        <v>0.17036688108809328</v>
      </c>
      <c r="AB40" s="227">
        <f>AB$10/$AF$10*$AF40</f>
        <v>1.3946998027595833E-3</v>
      </c>
      <c r="AC40" s="66">
        <f>AC$10/$AF$10*$AF40</f>
        <v>6.2316374165853714E-5</v>
      </c>
      <c r="AD40" s="67">
        <f>AD$10/$AF$10*$AF40</f>
        <v>1.0305941308476667E-2</v>
      </c>
      <c r="AE40" s="227">
        <f>AE$10/$AF$10*$AF40</f>
        <v>1.4837231944250887E-5</v>
      </c>
      <c r="AF40" s="559">
        <v>1.1777794717346354E-2</v>
      </c>
      <c r="AG40" s="559">
        <v>3.3893542485635168E-3</v>
      </c>
      <c r="AH40" s="537">
        <f>L40+R40+AA40+AF40+AG40</f>
        <v>1</v>
      </c>
      <c r="AI40" s="58"/>
      <c r="AJ40" s="401"/>
    </row>
    <row r="41" spans="1:36">
      <c r="A41" s="421"/>
      <c r="B41" s="66"/>
      <c r="C41" s="66"/>
      <c r="D41" s="66"/>
      <c r="E41" s="66"/>
      <c r="F41" s="66"/>
      <c r="G41" s="66"/>
      <c r="H41" s="66"/>
      <c r="I41" s="66"/>
      <c r="J41" s="66"/>
      <c r="K41" s="234"/>
      <c r="L41" s="559"/>
      <c r="M41" s="67"/>
      <c r="N41" s="67"/>
      <c r="O41" s="67"/>
      <c r="P41" s="67"/>
      <c r="Q41" s="427"/>
      <c r="R41" s="559"/>
      <c r="S41" s="66"/>
      <c r="T41" s="66"/>
      <c r="U41" s="66"/>
      <c r="V41" s="66"/>
      <c r="W41" s="66"/>
      <c r="X41" s="66"/>
      <c r="Y41" s="66"/>
      <c r="Z41" s="234"/>
      <c r="AA41" s="559"/>
      <c r="AB41" s="227"/>
      <c r="AC41" s="66"/>
      <c r="AD41" s="67"/>
      <c r="AE41" s="227"/>
      <c r="AF41" s="559"/>
      <c r="AG41" s="559"/>
      <c r="AH41" s="537"/>
      <c r="AI41" s="58"/>
      <c r="AJ41" s="401"/>
    </row>
    <row r="42" spans="1:36" ht="13.5" thickBot="1">
      <c r="A42" s="421" t="s">
        <v>446</v>
      </c>
      <c r="B42" s="66">
        <f t="shared" ref="B42:K42" si="43">B74/$AH$74</f>
        <v>0.66399500081439811</v>
      </c>
      <c r="C42" s="66">
        <f t="shared" si="43"/>
        <v>1.9124529383112055E-3</v>
      </c>
      <c r="D42" s="66">
        <f t="shared" si="43"/>
        <v>1.2408239660495121E-4</v>
      </c>
      <c r="E42" s="66">
        <f t="shared" si="43"/>
        <v>2.1120407932757656E-4</v>
      </c>
      <c r="F42" s="66">
        <f t="shared" si="43"/>
        <v>2.3232448726033426E-5</v>
      </c>
      <c r="G42" s="66">
        <f t="shared" si="43"/>
        <v>5.7605912636596508E-4</v>
      </c>
      <c r="H42" s="66">
        <f t="shared" si="43"/>
        <v>2.385022065806658E-3</v>
      </c>
      <c r="I42" s="66">
        <f t="shared" si="43"/>
        <v>1.8781322754204742E-3</v>
      </c>
      <c r="J42" s="66">
        <f t="shared" si="43"/>
        <v>1.6157112068559604E-4</v>
      </c>
      <c r="K42" s="234">
        <f t="shared" si="43"/>
        <v>4.365060309502687E-3</v>
      </c>
      <c r="L42" s="562">
        <v>0.67563181757514934</v>
      </c>
      <c r="M42" s="67">
        <f>M74/$AH$74</f>
        <v>0.13128942528304133</v>
      </c>
      <c r="N42" s="67">
        <f>N74/$AH$74</f>
        <v>2.0946317791132804E-5</v>
      </c>
      <c r="O42" s="66">
        <f>O74/$AH$74</f>
        <v>7.3186434362218023E-3</v>
      </c>
      <c r="P42" s="66">
        <f>P74/$AH$74</f>
        <v>1.6757054232906243E-4</v>
      </c>
      <c r="Q42" s="234">
        <f>Q74/$AH$74</f>
        <v>3.7566791464193635E-5</v>
      </c>
      <c r="R42" s="562">
        <v>0.13883415237084754</v>
      </c>
      <c r="S42" s="66">
        <f t="shared" ref="S42:Z42" si="44">S74/$AH$74</f>
        <v>0.16295651994654015</v>
      </c>
      <c r="T42" s="66">
        <f t="shared" si="44"/>
        <v>3.5087613597956551E-3</v>
      </c>
      <c r="U42" s="66">
        <f t="shared" si="44"/>
        <v>1.6070662716621316E-4</v>
      </c>
      <c r="V42" s="66">
        <f t="shared" si="44"/>
        <v>3.1069947918801197E-3</v>
      </c>
      <c r="W42" s="66">
        <f t="shared" si="44"/>
        <v>1.6070662716621316E-4</v>
      </c>
      <c r="X42" s="66">
        <f t="shared" si="44"/>
        <v>1.2499404335149916E-4</v>
      </c>
      <c r="Y42" s="66">
        <f t="shared" si="44"/>
        <v>6.2497021675749582E-5</v>
      </c>
      <c r="Z42" s="234">
        <f t="shared" si="44"/>
        <v>2.8570067051771227E-4</v>
      </c>
      <c r="AA42" s="562">
        <v>0.17036688108809325</v>
      </c>
      <c r="AB42" s="427">
        <f>AB74/$AH$74</f>
        <v>1.3946998027595835E-3</v>
      </c>
      <c r="AC42" s="66">
        <f>AC74/$AH$74</f>
        <v>6.2316374165853727E-5</v>
      </c>
      <c r="AD42" s="67">
        <f>AD74/$AH$74</f>
        <v>1.0305941308476669E-2</v>
      </c>
      <c r="AE42" s="427">
        <f>AE74/$AH$74</f>
        <v>1.4837231944250887E-5</v>
      </c>
      <c r="AF42" s="562">
        <v>1.1777794717346352E-2</v>
      </c>
      <c r="AG42" s="562">
        <v>3.3893542485635164E-3</v>
      </c>
      <c r="AH42" s="541">
        <f>L42+R42+AA42+AF42+AG42</f>
        <v>1</v>
      </c>
      <c r="AJ42" s="401"/>
    </row>
    <row r="43" spans="1:36">
      <c r="A43" s="21"/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34"/>
      <c r="AB43" s="46"/>
      <c r="AC43" s="46"/>
      <c r="AD43" s="46"/>
      <c r="AE43" s="46"/>
      <c r="AF43" s="34"/>
      <c r="AG43" s="46"/>
      <c r="AH43" s="26"/>
    </row>
    <row r="44" spans="1:36" ht="18">
      <c r="A44" s="424" t="s">
        <v>228</v>
      </c>
      <c r="B44" s="229"/>
      <c r="C44" s="230"/>
      <c r="D44" s="230"/>
      <c r="E44" s="231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3"/>
      <c r="Y44" s="13"/>
      <c r="Z44" s="13"/>
      <c r="AA44" s="13"/>
      <c r="AB44" s="12"/>
      <c r="AC44" s="12"/>
      <c r="AD44" s="13"/>
      <c r="AE44" s="13"/>
      <c r="AF44" s="13"/>
      <c r="AG44" s="13"/>
      <c r="AH44" s="14"/>
    </row>
    <row r="45" spans="1:36" ht="13.5" thickBot="1">
      <c r="A45" s="11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482"/>
      <c r="S45" s="12"/>
      <c r="T45" s="12"/>
      <c r="U45" s="12"/>
      <c r="V45" s="12"/>
      <c r="W45" s="12"/>
      <c r="X45" s="13"/>
      <c r="Y45" s="13"/>
      <c r="Z45" s="13"/>
      <c r="AA45" s="13"/>
      <c r="AB45" s="228"/>
      <c r="AC45" s="13"/>
      <c r="AD45" s="13"/>
      <c r="AE45" s="13"/>
      <c r="AF45" s="13"/>
      <c r="AG45" s="13"/>
      <c r="AH45" s="14"/>
      <c r="AI45" s="200" t="s">
        <v>158</v>
      </c>
    </row>
    <row r="46" spans="1:36">
      <c r="A46" s="421" t="str">
        <f>A14</f>
        <v>Customer Services Field</v>
      </c>
      <c r="B46" s="232">
        <f t="shared" ref="B46:AG46" si="45">B14*$AH46</f>
        <v>3671803.2534884275</v>
      </c>
      <c r="C46" s="232">
        <f t="shared" si="45"/>
        <v>10575.608118166301</v>
      </c>
      <c r="D46" s="232">
        <f t="shared" si="45"/>
        <v>686.15900269715075</v>
      </c>
      <c r="E46" s="232">
        <f t="shared" si="45"/>
        <v>1167.9302173568524</v>
      </c>
      <c r="F46" s="232">
        <f t="shared" si="45"/>
        <v>128.47232390925379</v>
      </c>
      <c r="G46" s="232">
        <f t="shared" si="45"/>
        <v>3185.5296678408149</v>
      </c>
      <c r="H46" s="232">
        <f t="shared" si="45"/>
        <v>13188.851979502257</v>
      </c>
      <c r="I46" s="232">
        <f t="shared" si="45"/>
        <v>10385.819457845811</v>
      </c>
      <c r="J46" s="232">
        <f t="shared" si="45"/>
        <v>893.4666162779921</v>
      </c>
      <c r="K46" s="235">
        <f t="shared" si="45"/>
        <v>24138.197767222748</v>
      </c>
      <c r="L46" s="236">
        <f t="shared" si="45"/>
        <v>3736153.2886392465</v>
      </c>
      <c r="M46" s="238">
        <f t="shared" si="45"/>
        <v>931846.4173733365</v>
      </c>
      <c r="N46" s="238">
        <f t="shared" si="45"/>
        <v>148.669636939539</v>
      </c>
      <c r="O46" s="238">
        <f t="shared" si="45"/>
        <v>51945.171146674926</v>
      </c>
      <c r="P46" s="238">
        <f t="shared" si="45"/>
        <v>1189.357095516312</v>
      </c>
      <c r="Q46" s="447">
        <f t="shared" si="45"/>
        <v>386.54105604280142</v>
      </c>
      <c r="R46" s="236">
        <f t="shared" si="45"/>
        <v>985516.15630850999</v>
      </c>
      <c r="S46" s="238">
        <f t="shared" si="45"/>
        <v>79786.269266488947</v>
      </c>
      <c r="T46" s="238">
        <f t="shared" si="45"/>
        <v>1717.948927335643</v>
      </c>
      <c r="U46" s="238">
        <f t="shared" si="45"/>
        <v>78.684683694762271</v>
      </c>
      <c r="V46" s="238">
        <f t="shared" si="45"/>
        <v>1521.2372180987372</v>
      </c>
      <c r="W46" s="238">
        <f t="shared" si="45"/>
        <v>78.684683694762271</v>
      </c>
      <c r="X46" s="238">
        <f t="shared" si="45"/>
        <v>61.199198429259553</v>
      </c>
      <c r="Y46" s="238">
        <f t="shared" si="45"/>
        <v>30.599599214629777</v>
      </c>
      <c r="Z46" s="447">
        <f t="shared" si="45"/>
        <v>139.88388212402182</v>
      </c>
      <c r="AA46" s="236">
        <f t="shared" si="45"/>
        <v>83414.507459080764</v>
      </c>
      <c r="AB46" s="238">
        <f t="shared" si="45"/>
        <v>2776.8240647040293</v>
      </c>
      <c r="AC46" s="238">
        <f t="shared" si="45"/>
        <v>124.07086246549916</v>
      </c>
      <c r="AD46" s="238">
        <f t="shared" si="45"/>
        <v>20518.957397270413</v>
      </c>
      <c r="AE46" s="447">
        <f t="shared" si="45"/>
        <v>29.540681539404567</v>
      </c>
      <c r="AF46" s="236">
        <f t="shared" si="45"/>
        <v>23449.393005979342</v>
      </c>
      <c r="AG46" s="236">
        <f t="shared" si="45"/>
        <v>466.65458718366853</v>
      </c>
      <c r="AH46" s="563">
        <v>4829000</v>
      </c>
      <c r="AI46" s="401">
        <f>L46+R46+AA46+AF46+AG46-AH46</f>
        <v>0</v>
      </c>
    </row>
    <row r="47" spans="1:36" ht="13.5" thickBot="1">
      <c r="A47" s="423"/>
      <c r="B47" s="232"/>
      <c r="C47" s="232"/>
      <c r="D47" s="232"/>
      <c r="E47" s="232"/>
      <c r="F47" s="232"/>
      <c r="G47" s="232"/>
      <c r="H47" s="232"/>
      <c r="I47" s="232"/>
      <c r="J47" s="232"/>
      <c r="K47" s="235"/>
      <c r="L47" s="237"/>
      <c r="M47" s="238"/>
      <c r="N47" s="238"/>
      <c r="O47" s="232"/>
      <c r="P47" s="232"/>
      <c r="Q47" s="235"/>
      <c r="R47" s="237"/>
      <c r="S47" s="232"/>
      <c r="T47" s="232"/>
      <c r="U47" s="232"/>
      <c r="V47" s="232"/>
      <c r="W47" s="232"/>
      <c r="X47" s="232"/>
      <c r="Y47" s="235"/>
      <c r="Z47" s="235"/>
      <c r="AA47" s="237"/>
      <c r="AB47" s="238"/>
      <c r="AC47" s="232"/>
      <c r="AD47" s="447"/>
      <c r="AE47" s="235"/>
      <c r="AF47" s="237"/>
      <c r="AG47" s="237"/>
      <c r="AH47" s="564"/>
      <c r="AI47" s="401"/>
    </row>
    <row r="48" spans="1:36">
      <c r="A48" s="421" t="str">
        <f>A16</f>
        <v>Advanced Metering</v>
      </c>
      <c r="B48" s="232">
        <f t="shared" ref="B48:AG48" si="46">B16*$AH48</f>
        <v>2742936.4292887286</v>
      </c>
      <c r="C48" s="232">
        <f t="shared" si="46"/>
        <v>7900.2655552528468</v>
      </c>
      <c r="D48" s="232">
        <f t="shared" si="46"/>
        <v>512.57934994048003</v>
      </c>
      <c r="E48" s="232">
        <f t="shared" si="46"/>
        <v>872.47548926039167</v>
      </c>
      <c r="F48" s="232">
        <f t="shared" si="46"/>
        <v>95.972303818643084</v>
      </c>
      <c r="G48" s="232">
        <f t="shared" si="46"/>
        <v>2379.6768969577179</v>
      </c>
      <c r="H48" s="232">
        <f t="shared" si="46"/>
        <v>9852.4294624729719</v>
      </c>
      <c r="I48" s="232">
        <f t="shared" si="46"/>
        <v>7758.4882882480333</v>
      </c>
      <c r="J48" s="232">
        <f t="shared" si="46"/>
        <v>667.4437492841995</v>
      </c>
      <c r="K48" s="235">
        <f t="shared" si="46"/>
        <v>18031.887174289142</v>
      </c>
      <c r="L48" s="237">
        <f t="shared" si="46"/>
        <v>2791007.6475582528</v>
      </c>
      <c r="M48" s="238">
        <f t="shared" si="46"/>
        <v>2042938.5987991381</v>
      </c>
      <c r="N48" s="238">
        <f t="shared" si="46"/>
        <v>325.93669311876994</v>
      </c>
      <c r="O48" s="238">
        <f t="shared" si="46"/>
        <v>113882.28057569821</v>
      </c>
      <c r="P48" s="238">
        <f t="shared" si="46"/>
        <v>2607.4935449501595</v>
      </c>
      <c r="Q48" s="447">
        <f t="shared" si="46"/>
        <v>0</v>
      </c>
      <c r="R48" s="237">
        <f t="shared" si="46"/>
        <v>2159754.3096129051</v>
      </c>
      <c r="S48" s="238">
        <f t="shared" si="46"/>
        <v>2360527.5632069195</v>
      </c>
      <c r="T48" s="238">
        <f t="shared" si="46"/>
        <v>50826.612554258129</v>
      </c>
      <c r="U48" s="238">
        <f t="shared" si="46"/>
        <v>2327.9364528667843</v>
      </c>
      <c r="V48" s="238">
        <f t="shared" si="46"/>
        <v>45006.771422091158</v>
      </c>
      <c r="W48" s="238">
        <f t="shared" si="46"/>
        <v>2327.9364528667843</v>
      </c>
      <c r="X48" s="238">
        <f t="shared" si="46"/>
        <v>1810.6172411186101</v>
      </c>
      <c r="Y48" s="238">
        <f t="shared" si="46"/>
        <v>905.30862055930504</v>
      </c>
      <c r="Z48" s="447">
        <f t="shared" si="46"/>
        <v>4138.5536939853946</v>
      </c>
      <c r="AA48" s="237">
        <f t="shared" si="46"/>
        <v>2467871.2996446653</v>
      </c>
      <c r="AB48" s="238">
        <f t="shared" si="46"/>
        <v>41294.997141021748</v>
      </c>
      <c r="AC48" s="238">
        <f t="shared" si="46"/>
        <v>1845.0956169392696</v>
      </c>
      <c r="AD48" s="238">
        <f t="shared" si="46"/>
        <v>305143.67036333733</v>
      </c>
      <c r="AE48" s="447">
        <f t="shared" si="46"/>
        <v>439.30848022363563</v>
      </c>
      <c r="AF48" s="237">
        <f t="shared" si="46"/>
        <v>348723.07160152198</v>
      </c>
      <c r="AG48" s="237">
        <f t="shared" si="46"/>
        <v>11643.671582654633</v>
      </c>
      <c r="AH48" s="563">
        <v>7779000</v>
      </c>
      <c r="AI48" s="401">
        <f>L48+R48+AA48+AF48+AG48-AH48</f>
        <v>0</v>
      </c>
    </row>
    <row r="49" spans="1:35">
      <c r="A49" s="423"/>
      <c r="B49" s="232"/>
      <c r="C49" s="232"/>
      <c r="D49" s="232"/>
      <c r="E49" s="232"/>
      <c r="F49" s="232"/>
      <c r="G49" s="232"/>
      <c r="H49" s="232"/>
      <c r="I49" s="232"/>
      <c r="J49" s="232"/>
      <c r="K49" s="235"/>
      <c r="L49" s="237"/>
      <c r="M49" s="238"/>
      <c r="N49" s="238"/>
      <c r="O49" s="238"/>
      <c r="P49" s="238"/>
      <c r="Q49" s="447"/>
      <c r="R49" s="237"/>
      <c r="S49" s="238"/>
      <c r="T49" s="238"/>
      <c r="U49" s="238"/>
      <c r="V49" s="238"/>
      <c r="W49" s="238"/>
      <c r="X49" s="238"/>
      <c r="Y49" s="447"/>
      <c r="Z49" s="447"/>
      <c r="AA49" s="237"/>
      <c r="AB49" s="238"/>
      <c r="AC49" s="238"/>
      <c r="AD49" s="447"/>
      <c r="AE49" s="447"/>
      <c r="AF49" s="237"/>
      <c r="AG49" s="237"/>
      <c r="AH49" s="564"/>
      <c r="AI49" s="401"/>
    </row>
    <row r="50" spans="1:35">
      <c r="A50" s="421" t="str">
        <f>A18</f>
        <v>Billing</v>
      </c>
      <c r="B50" s="232">
        <f t="shared" ref="B50:AG50" si="47">B18*$AH50</f>
        <v>1610421.6916458902</v>
      </c>
      <c r="C50" s="232">
        <f t="shared" si="47"/>
        <v>4638.3718135389636</v>
      </c>
      <c r="D50" s="232">
        <f t="shared" si="47"/>
        <v>300.94350529587416</v>
      </c>
      <c r="E50" s="232">
        <f t="shared" si="47"/>
        <v>512.24426433340295</v>
      </c>
      <c r="F50" s="232">
        <f t="shared" si="47"/>
        <v>56.346869076674324</v>
      </c>
      <c r="G50" s="232">
        <f t="shared" si="47"/>
        <v>1397.1462309693563</v>
      </c>
      <c r="H50" s="232">
        <f t="shared" si="47"/>
        <v>5784.5183549849526</v>
      </c>
      <c r="I50" s="232">
        <f t="shared" si="47"/>
        <v>4555.1321205847853</v>
      </c>
      <c r="J50" s="232">
        <f t="shared" si="47"/>
        <v>391.86686221505323</v>
      </c>
      <c r="K50" s="235">
        <f t="shared" si="47"/>
        <v>10586.808333110605</v>
      </c>
      <c r="L50" s="237">
        <f t="shared" si="47"/>
        <v>1638645.07</v>
      </c>
      <c r="M50" s="238">
        <f t="shared" si="47"/>
        <v>856984.73223306867</v>
      </c>
      <c r="N50" s="238">
        <f t="shared" si="47"/>
        <v>136.7259739678471</v>
      </c>
      <c r="O50" s="238">
        <f t="shared" si="47"/>
        <v>47772.055304365771</v>
      </c>
      <c r="P50" s="238">
        <f t="shared" si="47"/>
        <v>1093.8077917427768</v>
      </c>
      <c r="Q50" s="447">
        <f t="shared" si="47"/>
        <v>355.48753231640239</v>
      </c>
      <c r="R50" s="237">
        <f t="shared" si="47"/>
        <v>906342.8088354615</v>
      </c>
      <c r="S50" s="238">
        <f t="shared" si="47"/>
        <v>146001.60236061909</v>
      </c>
      <c r="T50" s="238">
        <f t="shared" si="47"/>
        <v>3143.6899916569855</v>
      </c>
      <c r="U50" s="238">
        <f t="shared" si="47"/>
        <v>143.98580114459475</v>
      </c>
      <c r="V50" s="238">
        <f t="shared" si="47"/>
        <v>2783.7254887954982</v>
      </c>
      <c r="W50" s="238">
        <f t="shared" si="47"/>
        <v>143.98580114459475</v>
      </c>
      <c r="X50" s="238">
        <f t="shared" si="47"/>
        <v>111.98895644579591</v>
      </c>
      <c r="Y50" s="238">
        <f t="shared" si="47"/>
        <v>55.994478222897953</v>
      </c>
      <c r="Z50" s="447">
        <f t="shared" si="47"/>
        <v>255.97475759039065</v>
      </c>
      <c r="AA50" s="237">
        <f t="shared" si="47"/>
        <v>152640.94763561981</v>
      </c>
      <c r="AB50" s="238">
        <f t="shared" si="47"/>
        <v>3334.9948253317239</v>
      </c>
      <c r="AC50" s="238">
        <f t="shared" si="47"/>
        <v>149.01040708928977</v>
      </c>
      <c r="AD50" s="238">
        <f t="shared" si="47"/>
        <v>24643.483039100167</v>
      </c>
      <c r="AE50" s="447">
        <f t="shared" si="47"/>
        <v>35.478668354592806</v>
      </c>
      <c r="AF50" s="237">
        <f t="shared" si="47"/>
        <v>28162.966939875769</v>
      </c>
      <c r="AG50" s="237">
        <f t="shared" si="47"/>
        <v>41208.206589042915</v>
      </c>
      <c r="AH50" s="564">
        <v>2767000</v>
      </c>
      <c r="AI50" s="401">
        <f>L50+R50+AA50+AF50+AG50-AH50</f>
        <v>0</v>
      </c>
    </row>
    <row r="51" spans="1:35">
      <c r="A51" s="423"/>
      <c r="B51" s="232"/>
      <c r="C51" s="232"/>
      <c r="D51" s="232"/>
      <c r="E51" s="232"/>
      <c r="F51" s="232"/>
      <c r="G51" s="232"/>
      <c r="H51" s="232"/>
      <c r="I51" s="232"/>
      <c r="J51" s="232"/>
      <c r="K51" s="235"/>
      <c r="L51" s="237"/>
      <c r="M51" s="238"/>
      <c r="N51" s="238"/>
      <c r="O51" s="238"/>
      <c r="P51" s="238"/>
      <c r="Q51" s="447"/>
      <c r="R51" s="237"/>
      <c r="S51" s="238"/>
      <c r="T51" s="238"/>
      <c r="U51" s="238"/>
      <c r="V51" s="238"/>
      <c r="W51" s="238"/>
      <c r="X51" s="238"/>
      <c r="Y51" s="447"/>
      <c r="Z51" s="447"/>
      <c r="AA51" s="237"/>
      <c r="AB51" s="238"/>
      <c r="AC51" s="238"/>
      <c r="AD51" s="447"/>
      <c r="AE51" s="447"/>
      <c r="AF51" s="237"/>
      <c r="AG51" s="237"/>
      <c r="AH51" s="564"/>
      <c r="AI51" s="401"/>
    </row>
    <row r="52" spans="1:35">
      <c r="A52" s="421" t="str">
        <f>A20</f>
        <v>Credit &amp; Collections</v>
      </c>
      <c r="B52" s="232">
        <f t="shared" ref="B52:AG52" si="48">B20*$AH52</f>
        <v>1507296.7189800118</v>
      </c>
      <c r="C52" s="232">
        <f t="shared" si="48"/>
        <v>4341.349009532566</v>
      </c>
      <c r="D52" s="232">
        <f t="shared" si="48"/>
        <v>281.6722852678501</v>
      </c>
      <c r="E52" s="232">
        <f t="shared" si="48"/>
        <v>479.44218768995762</v>
      </c>
      <c r="F52" s="232">
        <f t="shared" si="48"/>
        <v>52.738640645895345</v>
      </c>
      <c r="G52" s="232">
        <f t="shared" si="48"/>
        <v>1307.6785669243593</v>
      </c>
      <c r="H52" s="232">
        <f t="shared" si="48"/>
        <v>5414.100904488846</v>
      </c>
      <c r="I52" s="232">
        <f t="shared" si="48"/>
        <v>4263.4396540329481</v>
      </c>
      <c r="J52" s="232">
        <f t="shared" si="48"/>
        <v>366.77327358281758</v>
      </c>
      <c r="K52" s="235">
        <f t="shared" si="48"/>
        <v>9908.8714140821976</v>
      </c>
      <c r="L52" s="237">
        <f t="shared" si="48"/>
        <v>1533712.7849162591</v>
      </c>
      <c r="M52" s="238">
        <f t="shared" si="48"/>
        <v>129660.42895188746</v>
      </c>
      <c r="N52" s="238">
        <f t="shared" si="48"/>
        <v>20.686422717638681</v>
      </c>
      <c r="O52" s="238">
        <f t="shared" si="48"/>
        <v>7227.8360975429541</v>
      </c>
      <c r="P52" s="238">
        <f t="shared" si="48"/>
        <v>165.49138174110945</v>
      </c>
      <c r="Q52" s="447">
        <f t="shared" si="48"/>
        <v>53.784699065860565</v>
      </c>
      <c r="R52" s="237">
        <f t="shared" si="48"/>
        <v>137128.22755295504</v>
      </c>
      <c r="S52" s="238">
        <f t="shared" si="48"/>
        <v>22585.504825683071</v>
      </c>
      <c r="T52" s="238">
        <f t="shared" si="48"/>
        <v>486.30853585872495</v>
      </c>
      <c r="U52" s="238">
        <f t="shared" si="48"/>
        <v>22.273673398109537</v>
      </c>
      <c r="V52" s="238">
        <f t="shared" si="48"/>
        <v>430.62435236345101</v>
      </c>
      <c r="W52" s="238">
        <f t="shared" si="48"/>
        <v>22.273673398109537</v>
      </c>
      <c r="X52" s="238">
        <f t="shared" si="48"/>
        <v>17.323968198529641</v>
      </c>
      <c r="Y52" s="238">
        <f t="shared" si="48"/>
        <v>8.6619840992648207</v>
      </c>
      <c r="Z52" s="447">
        <f t="shared" si="48"/>
        <v>39.597641596639178</v>
      </c>
      <c r="AA52" s="237">
        <f t="shared" si="48"/>
        <v>23612.5686545959</v>
      </c>
      <c r="AB52" s="238">
        <f t="shared" si="48"/>
        <v>506.2367551841964</v>
      </c>
      <c r="AC52" s="238">
        <f t="shared" si="48"/>
        <v>22.619089061421541</v>
      </c>
      <c r="AD52" s="238">
        <f t="shared" si="48"/>
        <v>3740.7664909674772</v>
      </c>
      <c r="AE52" s="447">
        <f t="shared" si="48"/>
        <v>5.3854973955765582</v>
      </c>
      <c r="AF52" s="237">
        <f t="shared" si="48"/>
        <v>4275.0078326086714</v>
      </c>
      <c r="AG52" s="237">
        <f t="shared" si="48"/>
        <v>6271.4110435812991</v>
      </c>
      <c r="AH52" s="564">
        <v>1705000</v>
      </c>
      <c r="AI52" s="401">
        <f>L52+R52+AA52+AF52+AG52-AH52</f>
        <v>0</v>
      </c>
    </row>
    <row r="53" spans="1:35">
      <c r="A53" s="423"/>
      <c r="B53" s="232"/>
      <c r="C53" s="232"/>
      <c r="D53" s="232"/>
      <c r="E53" s="232"/>
      <c r="F53" s="232"/>
      <c r="G53" s="232"/>
      <c r="H53" s="232"/>
      <c r="I53" s="232"/>
      <c r="J53" s="232"/>
      <c r="K53" s="235"/>
      <c r="L53" s="237"/>
      <c r="M53" s="238"/>
      <c r="N53" s="238"/>
      <c r="O53" s="232"/>
      <c r="P53" s="232"/>
      <c r="Q53" s="235"/>
      <c r="R53" s="237"/>
      <c r="S53" s="232"/>
      <c r="T53" s="232"/>
      <c r="U53" s="232"/>
      <c r="V53" s="232"/>
      <c r="W53" s="232"/>
      <c r="X53" s="232"/>
      <c r="Y53" s="235"/>
      <c r="Z53" s="235"/>
      <c r="AA53" s="237"/>
      <c r="AB53" s="238"/>
      <c r="AC53" s="232"/>
      <c r="AD53" s="447"/>
      <c r="AE53" s="235"/>
      <c r="AF53" s="237"/>
      <c r="AG53" s="237"/>
      <c r="AH53" s="564"/>
      <c r="AI53" s="401"/>
    </row>
    <row r="54" spans="1:35">
      <c r="A54" s="421" t="str">
        <f>A22</f>
        <v>Remittance Processing</v>
      </c>
      <c r="B54" s="232">
        <f t="shared" ref="B54:AG54" si="49">B22*$AH54</f>
        <v>2811316.2791916402</v>
      </c>
      <c r="C54" s="232">
        <f t="shared" si="49"/>
        <v>8097.2146959959373</v>
      </c>
      <c r="D54" s="232">
        <f t="shared" si="49"/>
        <v>525.35766249559492</v>
      </c>
      <c r="E54" s="232">
        <f t="shared" si="49"/>
        <v>894.22580850314046</v>
      </c>
      <c r="F54" s="232">
        <f t="shared" si="49"/>
        <v>98.36483893534546</v>
      </c>
      <c r="G54" s="232">
        <f t="shared" si="49"/>
        <v>2439.0008926923156</v>
      </c>
      <c r="H54" s="232">
        <f t="shared" si="49"/>
        <v>10098.044942521712</v>
      </c>
      <c r="I54" s="232">
        <f t="shared" si="49"/>
        <v>7951.9030021141762</v>
      </c>
      <c r="J54" s="232">
        <f t="shared" si="49"/>
        <v>684.08274350490228</v>
      </c>
      <c r="K54" s="235">
        <f t="shared" si="49"/>
        <v>18481.411897238653</v>
      </c>
      <c r="L54" s="237">
        <f t="shared" si="49"/>
        <v>2860585.8856756422</v>
      </c>
      <c r="M54" s="238">
        <f t="shared" si="49"/>
        <v>275374.47233698255</v>
      </c>
      <c r="N54" s="238">
        <f t="shared" si="49"/>
        <v>43.934088344897432</v>
      </c>
      <c r="O54" s="238">
        <f t="shared" si="49"/>
        <v>15350.570467707159</v>
      </c>
      <c r="P54" s="238">
        <f t="shared" si="49"/>
        <v>351.47270675917946</v>
      </c>
      <c r="Q54" s="447">
        <f t="shared" si="49"/>
        <v>114.22862969673329</v>
      </c>
      <c r="R54" s="237">
        <f t="shared" si="49"/>
        <v>291234.67822949053</v>
      </c>
      <c r="S54" s="238">
        <f t="shared" si="49"/>
        <v>36465.142996338087</v>
      </c>
      <c r="T54" s="238">
        <f t="shared" si="49"/>
        <v>785.16333539123764</v>
      </c>
      <c r="U54" s="238">
        <f t="shared" si="49"/>
        <v>35.961679483568133</v>
      </c>
      <c r="V54" s="238">
        <f t="shared" si="49"/>
        <v>695.25913668231726</v>
      </c>
      <c r="W54" s="238">
        <f t="shared" si="49"/>
        <v>35.961679483568133</v>
      </c>
      <c r="X54" s="238">
        <f t="shared" si="49"/>
        <v>27.97019515388633</v>
      </c>
      <c r="Y54" s="238">
        <f t="shared" si="49"/>
        <v>13.985097576943165</v>
      </c>
      <c r="Z54" s="447">
        <f t="shared" si="49"/>
        <v>63.931874637454456</v>
      </c>
      <c r="AA54" s="237">
        <f t="shared" si="49"/>
        <v>38123.375994747061</v>
      </c>
      <c r="AB54" s="238">
        <f t="shared" si="49"/>
        <v>1177.4712440566286</v>
      </c>
      <c r="AC54" s="238">
        <f t="shared" si="49"/>
        <v>52.610417287636594</v>
      </c>
      <c r="AD54" s="238">
        <f t="shared" si="49"/>
        <v>8700.760916188663</v>
      </c>
      <c r="AE54" s="447">
        <f t="shared" si="49"/>
        <v>12.526289830389667</v>
      </c>
      <c r="AF54" s="237">
        <f t="shared" si="49"/>
        <v>9943.3688673633169</v>
      </c>
      <c r="AG54" s="237">
        <f t="shared" si="49"/>
        <v>9112.6912327567825</v>
      </c>
      <c r="AH54" s="564">
        <v>3209000</v>
      </c>
      <c r="AI54" s="401">
        <f>L54+R54+AA54+AF54+AG54-AH54</f>
        <v>0</v>
      </c>
    </row>
    <row r="55" spans="1:35">
      <c r="A55" s="423"/>
      <c r="B55" s="232"/>
      <c r="C55" s="232"/>
      <c r="D55" s="232"/>
      <c r="E55" s="232"/>
      <c r="F55" s="232"/>
      <c r="G55" s="232"/>
      <c r="H55" s="232"/>
      <c r="I55" s="232"/>
      <c r="J55" s="232"/>
      <c r="K55" s="235"/>
      <c r="L55" s="237"/>
      <c r="M55" s="238"/>
      <c r="N55" s="238"/>
      <c r="O55" s="232"/>
      <c r="P55" s="232"/>
      <c r="Q55" s="235"/>
      <c r="R55" s="237"/>
      <c r="S55" s="232"/>
      <c r="T55" s="232"/>
      <c r="U55" s="232"/>
      <c r="V55" s="232"/>
      <c r="W55" s="232"/>
      <c r="X55" s="232"/>
      <c r="Y55" s="235"/>
      <c r="Z55" s="235"/>
      <c r="AA55" s="237"/>
      <c r="AB55" s="238"/>
      <c r="AC55" s="232"/>
      <c r="AD55" s="447"/>
      <c r="AE55" s="235"/>
      <c r="AF55" s="237"/>
      <c r="AG55" s="237"/>
      <c r="AH55" s="564"/>
      <c r="AI55" s="401"/>
    </row>
    <row r="56" spans="1:35">
      <c r="A56" s="421" t="str">
        <f>A24</f>
        <v>Branch Offices</v>
      </c>
      <c r="B56" s="232">
        <f t="shared" ref="B56:AG56" si="50">B24*$AH56</f>
        <v>1158549.051146837</v>
      </c>
      <c r="C56" s="232">
        <f t="shared" si="50"/>
        <v>3336.8783414421496</v>
      </c>
      <c r="D56" s="232">
        <f t="shared" si="50"/>
        <v>216.50094153476121</v>
      </c>
      <c r="E56" s="232">
        <f t="shared" si="50"/>
        <v>368.51224091023192</v>
      </c>
      <c r="F56" s="232">
        <f t="shared" si="50"/>
        <v>40.536346500125504</v>
      </c>
      <c r="G56" s="232">
        <f t="shared" si="50"/>
        <v>1005.1171370826575</v>
      </c>
      <c r="H56" s="232">
        <f t="shared" si="50"/>
        <v>4161.4244804787932</v>
      </c>
      <c r="I56" s="232">
        <f t="shared" si="50"/>
        <v>3276.9951022942369</v>
      </c>
      <c r="J56" s="232">
        <f t="shared" si="50"/>
        <v>281.91186429632734</v>
      </c>
      <c r="K56" s="235">
        <f t="shared" si="50"/>
        <v>7616.226739012217</v>
      </c>
      <c r="L56" s="237">
        <f t="shared" si="50"/>
        <v>1178853.1543403885</v>
      </c>
      <c r="M56" s="238">
        <f t="shared" si="50"/>
        <v>79516.108422510428</v>
      </c>
      <c r="N56" s="238">
        <f t="shared" si="50"/>
        <v>12.686243944943351</v>
      </c>
      <c r="O56" s="238">
        <f t="shared" si="50"/>
        <v>4432.5736343632061</v>
      </c>
      <c r="P56" s="238">
        <f t="shared" si="50"/>
        <v>101.48995155954681</v>
      </c>
      <c r="Q56" s="447">
        <f t="shared" si="50"/>
        <v>32.984234256852709</v>
      </c>
      <c r="R56" s="237">
        <f t="shared" si="50"/>
        <v>84095.842486634967</v>
      </c>
      <c r="S56" s="238">
        <f t="shared" si="50"/>
        <v>13936.217069808878</v>
      </c>
      <c r="T56" s="238">
        <f t="shared" si="50"/>
        <v>300.07304999095379</v>
      </c>
      <c r="U56" s="238">
        <f t="shared" si="50"/>
        <v>13.743803816379563</v>
      </c>
      <c r="V56" s="238">
        <f t="shared" si="50"/>
        <v>265.71354045000487</v>
      </c>
      <c r="W56" s="238">
        <f t="shared" si="50"/>
        <v>13.743803816379563</v>
      </c>
      <c r="X56" s="238">
        <f t="shared" si="50"/>
        <v>10.689625190517436</v>
      </c>
      <c r="Y56" s="238">
        <f t="shared" si="50"/>
        <v>5.344812595258718</v>
      </c>
      <c r="Z56" s="447">
        <f t="shared" si="50"/>
        <v>24.433429006896997</v>
      </c>
      <c r="AA56" s="237">
        <f t="shared" si="50"/>
        <v>14569.959134675266</v>
      </c>
      <c r="AB56" s="238">
        <f t="shared" si="50"/>
        <v>311.04428875655645</v>
      </c>
      <c r="AC56" s="238">
        <f t="shared" si="50"/>
        <v>13.897723540186565</v>
      </c>
      <c r="AD56" s="238">
        <f t="shared" si="50"/>
        <v>2298.4187550032352</v>
      </c>
      <c r="AE56" s="447">
        <f t="shared" si="50"/>
        <v>3.3089817952825151</v>
      </c>
      <c r="AF56" s="237">
        <f t="shared" si="50"/>
        <v>2626.6697490952606</v>
      </c>
      <c r="AG56" s="237">
        <f t="shared" si="50"/>
        <v>3854.3742892060891</v>
      </c>
      <c r="AH56" s="564">
        <v>1284000</v>
      </c>
      <c r="AI56" s="401">
        <f>L56+R56+AA56+AF56+AG56-AH56</f>
        <v>0</v>
      </c>
    </row>
    <row r="57" spans="1:35">
      <c r="A57" s="421"/>
      <c r="B57" s="232"/>
      <c r="C57" s="232"/>
      <c r="D57" s="232"/>
      <c r="E57" s="232"/>
      <c r="F57" s="232"/>
      <c r="G57" s="232"/>
      <c r="H57" s="232"/>
      <c r="I57" s="232"/>
      <c r="J57" s="232"/>
      <c r="K57" s="235"/>
      <c r="L57" s="237"/>
      <c r="M57" s="238"/>
      <c r="N57" s="238"/>
      <c r="O57" s="232"/>
      <c r="P57" s="232"/>
      <c r="Q57" s="235"/>
      <c r="R57" s="237"/>
      <c r="S57" s="232"/>
      <c r="T57" s="232"/>
      <c r="U57" s="232"/>
      <c r="V57" s="232"/>
      <c r="W57" s="232"/>
      <c r="X57" s="232"/>
      <c r="Y57" s="235"/>
      <c r="Z57" s="235"/>
      <c r="AA57" s="237"/>
      <c r="AB57" s="238"/>
      <c r="AC57" s="232"/>
      <c r="AD57" s="447"/>
      <c r="AE57" s="235"/>
      <c r="AF57" s="237"/>
      <c r="AG57" s="237"/>
      <c r="AH57" s="564"/>
      <c r="AI57" s="401"/>
    </row>
    <row r="58" spans="1:35">
      <c r="A58" s="421" t="str">
        <f>A26</f>
        <v>Customer Contact Center Operations</v>
      </c>
      <c r="B58" s="232">
        <f t="shared" ref="B58:AG58" si="51">B26*$AH58</f>
        <v>5244768.9720602231</v>
      </c>
      <c r="C58" s="232">
        <f t="shared" si="51"/>
        <v>15106.098418026697</v>
      </c>
      <c r="D58" s="232">
        <f t="shared" si="51"/>
        <v>980.10301718284745</v>
      </c>
      <c r="E58" s="232">
        <f t="shared" si="51"/>
        <v>1668.2604547793148</v>
      </c>
      <c r="F58" s="232">
        <f t="shared" si="51"/>
        <v>183.50865002572465</v>
      </c>
      <c r="G58" s="232">
        <f t="shared" si="51"/>
        <v>4550.1803904105809</v>
      </c>
      <c r="H58" s="232">
        <f t="shared" si="51"/>
        <v>18838.831185595413</v>
      </c>
      <c r="I58" s="232">
        <f t="shared" si="51"/>
        <v>14835.006094125056</v>
      </c>
      <c r="J58" s="232">
        <f t="shared" si="51"/>
        <v>1276.2192479061757</v>
      </c>
      <c r="K58" s="235">
        <f t="shared" si="51"/>
        <v>34478.772949151491</v>
      </c>
      <c r="L58" s="237">
        <f t="shared" si="51"/>
        <v>5336685.9524674257</v>
      </c>
      <c r="M58" s="238">
        <f t="shared" si="51"/>
        <v>351125.97051559668</v>
      </c>
      <c r="N58" s="238">
        <f t="shared" si="51"/>
        <v>56.019714819253132</v>
      </c>
      <c r="O58" s="238">
        <f t="shared" si="51"/>
        <v>19573.288357847043</v>
      </c>
      <c r="P58" s="238">
        <f t="shared" si="51"/>
        <v>448.15771855402505</v>
      </c>
      <c r="Q58" s="447">
        <f t="shared" si="51"/>
        <v>145.65125853005813</v>
      </c>
      <c r="R58" s="237">
        <f t="shared" si="51"/>
        <v>371349.08756534709</v>
      </c>
      <c r="S58" s="238">
        <f t="shared" si="51"/>
        <v>60700.745373678561</v>
      </c>
      <c r="T58" s="238">
        <f t="shared" si="51"/>
        <v>1307.001585133447</v>
      </c>
      <c r="U58" s="238">
        <f t="shared" si="51"/>
        <v>59.862668021379257</v>
      </c>
      <c r="V58" s="238">
        <f t="shared" si="51"/>
        <v>1157.3449150799988</v>
      </c>
      <c r="W58" s="238">
        <f t="shared" si="51"/>
        <v>59.862668021379257</v>
      </c>
      <c r="X58" s="238">
        <f t="shared" si="51"/>
        <v>46.559852905517197</v>
      </c>
      <c r="Y58" s="238">
        <f t="shared" si="51"/>
        <v>23.279926452758598</v>
      </c>
      <c r="Z58" s="447">
        <f t="shared" si="51"/>
        <v>106.42252092689644</v>
      </c>
      <c r="AA58" s="237">
        <f t="shared" si="51"/>
        <v>63461.079510219934</v>
      </c>
      <c r="AB58" s="238">
        <f t="shared" si="51"/>
        <v>1369.1106366417243</v>
      </c>
      <c r="AC58" s="238">
        <f t="shared" si="51"/>
        <v>61.173028445694072</v>
      </c>
      <c r="AD58" s="238">
        <f t="shared" si="51"/>
        <v>10116.853704375977</v>
      </c>
      <c r="AE58" s="447">
        <f t="shared" si="51"/>
        <v>14.565006772784303</v>
      </c>
      <c r="AF58" s="237">
        <f t="shared" si="51"/>
        <v>11561.70237623618</v>
      </c>
      <c r="AG58" s="237">
        <f t="shared" si="51"/>
        <v>16942.178080770362</v>
      </c>
      <c r="AH58" s="564">
        <v>5800000</v>
      </c>
      <c r="AI58" s="401">
        <f>L58+R58+AA58+AF58+AG58-AH58</f>
        <v>0</v>
      </c>
    </row>
    <row r="59" spans="1:35">
      <c r="A59" s="421"/>
      <c r="B59" s="232"/>
      <c r="C59" s="232"/>
      <c r="D59" s="232"/>
      <c r="E59" s="232"/>
      <c r="F59" s="232"/>
      <c r="G59" s="232"/>
      <c r="H59" s="232"/>
      <c r="I59" s="232"/>
      <c r="J59" s="232"/>
      <c r="K59" s="235"/>
      <c r="L59" s="237"/>
      <c r="M59" s="238"/>
      <c r="N59" s="238"/>
      <c r="O59" s="232"/>
      <c r="P59" s="232"/>
      <c r="Q59" s="235"/>
      <c r="R59" s="237"/>
      <c r="S59" s="232"/>
      <c r="T59" s="232"/>
      <c r="U59" s="232"/>
      <c r="V59" s="232"/>
      <c r="W59" s="232"/>
      <c r="X59" s="232"/>
      <c r="Y59" s="235"/>
      <c r="Z59" s="235"/>
      <c r="AA59" s="237"/>
      <c r="AB59" s="238"/>
      <c r="AC59" s="232"/>
      <c r="AD59" s="447"/>
      <c r="AE59" s="235"/>
      <c r="AF59" s="237"/>
      <c r="AG59" s="237"/>
      <c r="AH59" s="564"/>
      <c r="AI59" s="401"/>
    </row>
    <row r="60" spans="1:35">
      <c r="A60" s="421" t="str">
        <f>A28</f>
        <v xml:space="preserve">Customer Contact Center Support </v>
      </c>
      <c r="B60" s="232">
        <f t="shared" ref="B60:AG60" si="52">B28*$AH60</f>
        <v>1637633.8980001833</v>
      </c>
      <c r="C60" s="232">
        <f t="shared" si="52"/>
        <v>4716.7490060424743</v>
      </c>
      <c r="D60" s="232">
        <f t="shared" si="52"/>
        <v>306.02871795140288</v>
      </c>
      <c r="E60" s="232">
        <f t="shared" si="52"/>
        <v>520.89994544919637</v>
      </c>
      <c r="F60" s="232">
        <f t="shared" si="52"/>
        <v>57.298993999411607</v>
      </c>
      <c r="G60" s="232">
        <f t="shared" si="52"/>
        <v>1420.7546012126832</v>
      </c>
      <c r="H60" s="232">
        <f t="shared" si="52"/>
        <v>5882.2626339850503</v>
      </c>
      <c r="I60" s="232">
        <f t="shared" si="52"/>
        <v>4632.1027649069783</v>
      </c>
      <c r="J60" s="232">
        <f t="shared" si="52"/>
        <v>398.48845826863521</v>
      </c>
      <c r="K60" s="235">
        <f t="shared" si="52"/>
        <v>10765.699622571266</v>
      </c>
      <c r="L60" s="237">
        <f t="shared" si="52"/>
        <v>1666334.1827445705</v>
      </c>
      <c r="M60" s="238">
        <f t="shared" si="52"/>
        <v>109636.05734547338</v>
      </c>
      <c r="N60" s="238">
        <f t="shared" si="52"/>
        <v>17.49167302373576</v>
      </c>
      <c r="O60" s="238">
        <f t="shared" si="52"/>
        <v>6111.5905544932748</v>
      </c>
      <c r="P60" s="238">
        <f t="shared" si="52"/>
        <v>139.93338418988608</v>
      </c>
      <c r="Q60" s="447">
        <f t="shared" si="52"/>
        <v>45.478349861712971</v>
      </c>
      <c r="R60" s="237">
        <f t="shared" si="52"/>
        <v>115950.55130704198</v>
      </c>
      <c r="S60" s="238">
        <f t="shared" si="52"/>
        <v>18953.284460643426</v>
      </c>
      <c r="T60" s="238">
        <f t="shared" si="52"/>
        <v>408.09997770287458</v>
      </c>
      <c r="U60" s="238">
        <f t="shared" si="52"/>
        <v>18.69160203219273</v>
      </c>
      <c r="V60" s="238">
        <f t="shared" si="52"/>
        <v>361.37097262239274</v>
      </c>
      <c r="W60" s="238">
        <f t="shared" si="52"/>
        <v>18.69160203219273</v>
      </c>
      <c r="X60" s="238">
        <f t="shared" si="52"/>
        <v>14.537912691705454</v>
      </c>
      <c r="Y60" s="238">
        <f t="shared" si="52"/>
        <v>7.2689563458527271</v>
      </c>
      <c r="Z60" s="447">
        <f t="shared" si="52"/>
        <v>33.229514723898184</v>
      </c>
      <c r="AA60" s="237">
        <f t="shared" si="52"/>
        <v>19815.174998794533</v>
      </c>
      <c r="AB60" s="238">
        <f t="shared" si="52"/>
        <v>427.49299361347636</v>
      </c>
      <c r="AC60" s="238">
        <f t="shared" si="52"/>
        <v>19.100750778474477</v>
      </c>
      <c r="AD60" s="238">
        <f t="shared" si="52"/>
        <v>3158.9003549353265</v>
      </c>
      <c r="AE60" s="447">
        <f t="shared" si="52"/>
        <v>4.5477978043986846</v>
      </c>
      <c r="AF60" s="237">
        <f t="shared" si="52"/>
        <v>3610.0418971316763</v>
      </c>
      <c r="AG60" s="237">
        <f t="shared" si="52"/>
        <v>5290.0490524612287</v>
      </c>
      <c r="AH60" s="564">
        <v>1811000</v>
      </c>
      <c r="AI60" s="401">
        <f>L60+R60+AA60+AF60+AG60-AH60</f>
        <v>0</v>
      </c>
    </row>
    <row r="61" spans="1:35">
      <c r="A61" s="421"/>
      <c r="B61" s="232"/>
      <c r="C61" s="232"/>
      <c r="D61" s="232"/>
      <c r="E61" s="232"/>
      <c r="F61" s="232"/>
      <c r="G61" s="232"/>
      <c r="H61" s="232"/>
      <c r="I61" s="232"/>
      <c r="J61" s="232"/>
      <c r="K61" s="235"/>
      <c r="L61" s="237"/>
      <c r="M61" s="238"/>
      <c r="N61" s="238"/>
      <c r="O61" s="238"/>
      <c r="P61" s="238"/>
      <c r="Q61" s="447"/>
      <c r="R61" s="237"/>
      <c r="S61" s="238"/>
      <c r="T61" s="238"/>
      <c r="U61" s="238"/>
      <c r="V61" s="238"/>
      <c r="W61" s="238"/>
      <c r="X61" s="238"/>
      <c r="Y61" s="447"/>
      <c r="Z61" s="447"/>
      <c r="AA61" s="237"/>
      <c r="AB61" s="238"/>
      <c r="AC61" s="238"/>
      <c r="AD61" s="447"/>
      <c r="AE61" s="447"/>
      <c r="AF61" s="237"/>
      <c r="AG61" s="237"/>
      <c r="AH61" s="564"/>
      <c r="AI61" s="401"/>
    </row>
    <row r="62" spans="1:35">
      <c r="A62" s="421" t="str">
        <f>A30</f>
        <v>Residential Customer Services</v>
      </c>
      <c r="B62" s="232">
        <f t="shared" ref="B62:AG62" si="53">B30*$AH62</f>
        <v>4158740.0866387868</v>
      </c>
      <c r="C62" s="232">
        <f t="shared" si="53"/>
        <v>11978.094245604272</v>
      </c>
      <c r="D62" s="232">
        <f t="shared" si="53"/>
        <v>777.15409931446823</v>
      </c>
      <c r="E62" s="232">
        <f t="shared" si="53"/>
        <v>1322.8154881948394</v>
      </c>
      <c r="F62" s="232">
        <f t="shared" si="53"/>
        <v>145.50970370143236</v>
      </c>
      <c r="G62" s="232">
        <f t="shared" si="53"/>
        <v>3607.9792440514248</v>
      </c>
      <c r="H62" s="232">
        <f t="shared" si="53"/>
        <v>14937.893900440224</v>
      </c>
      <c r="I62" s="232">
        <f t="shared" si="53"/>
        <v>11763.13672877261</v>
      </c>
      <c r="J62" s="232">
        <f t="shared" si="53"/>
        <v>1011.9538484690521</v>
      </c>
      <c r="K62" s="235">
        <f t="shared" si="53"/>
        <v>27339.289102266845</v>
      </c>
      <c r="L62" s="237">
        <f t="shared" si="53"/>
        <v>4231623.912999602</v>
      </c>
      <c r="M62" s="238">
        <f t="shared" si="53"/>
        <v>278418.67903469468</v>
      </c>
      <c r="N62" s="238">
        <f t="shared" si="53"/>
        <v>44.419770423059504</v>
      </c>
      <c r="O62" s="238">
        <f t="shared" si="53"/>
        <v>15520.267785816992</v>
      </c>
      <c r="P62" s="238">
        <f t="shared" si="53"/>
        <v>355.35816338447603</v>
      </c>
      <c r="Q62" s="447">
        <f t="shared" si="53"/>
        <v>115.49140309995471</v>
      </c>
      <c r="R62" s="237">
        <f t="shared" si="53"/>
        <v>294454.21615741914</v>
      </c>
      <c r="S62" s="238">
        <f t="shared" si="53"/>
        <v>48131.504823025469</v>
      </c>
      <c r="T62" s="238">
        <f t="shared" si="53"/>
        <v>1036.3621189704695</v>
      </c>
      <c r="U62" s="238">
        <f t="shared" si="53"/>
        <v>47.466967281090206</v>
      </c>
      <c r="V62" s="238">
        <f t="shared" si="53"/>
        <v>917.69470076774383</v>
      </c>
      <c r="W62" s="238">
        <f t="shared" si="53"/>
        <v>47.466967281090206</v>
      </c>
      <c r="X62" s="238">
        <f t="shared" si="53"/>
        <v>36.918752329736826</v>
      </c>
      <c r="Y62" s="238">
        <f t="shared" si="53"/>
        <v>18.459376164868413</v>
      </c>
      <c r="Z62" s="447">
        <f t="shared" si="53"/>
        <v>84.385719610827024</v>
      </c>
      <c r="AA62" s="237">
        <f t="shared" si="53"/>
        <v>50320.259425431286</v>
      </c>
      <c r="AB62" s="238">
        <f t="shared" si="53"/>
        <v>1085.6103134336709</v>
      </c>
      <c r="AC62" s="238">
        <f t="shared" si="53"/>
        <v>48.505992727887424</v>
      </c>
      <c r="AD62" s="238">
        <f t="shared" si="53"/>
        <v>8021.9672735215718</v>
      </c>
      <c r="AE62" s="447">
        <f t="shared" si="53"/>
        <v>11.549045887592243</v>
      </c>
      <c r="AF62" s="237">
        <f t="shared" si="53"/>
        <v>9167.6326255707227</v>
      </c>
      <c r="AG62" s="237">
        <f t="shared" si="53"/>
        <v>13433.97879197636</v>
      </c>
      <c r="AH62" s="564">
        <v>4599000</v>
      </c>
      <c r="AI62" s="401">
        <f>L62+R62+AA62+AF62+AG62-AH62</f>
        <v>0</v>
      </c>
    </row>
    <row r="63" spans="1:35">
      <c r="A63" s="421"/>
      <c r="B63" s="232"/>
      <c r="C63" s="232"/>
      <c r="D63" s="232"/>
      <c r="E63" s="232"/>
      <c r="F63" s="232"/>
      <c r="G63" s="232"/>
      <c r="H63" s="232"/>
      <c r="I63" s="232"/>
      <c r="J63" s="232"/>
      <c r="K63" s="235"/>
      <c r="L63" s="237"/>
      <c r="M63" s="238"/>
      <c r="N63" s="238"/>
      <c r="O63" s="232"/>
      <c r="P63" s="232"/>
      <c r="Q63" s="235"/>
      <c r="R63" s="237"/>
      <c r="S63" s="232"/>
      <c r="T63" s="232"/>
      <c r="U63" s="232"/>
      <c r="V63" s="232"/>
      <c r="W63" s="232"/>
      <c r="X63" s="232"/>
      <c r="Y63" s="235"/>
      <c r="Z63" s="235"/>
      <c r="AA63" s="237"/>
      <c r="AB63" s="238"/>
      <c r="AC63" s="232"/>
      <c r="AD63" s="447"/>
      <c r="AE63" s="235"/>
      <c r="AF63" s="237"/>
      <c r="AG63" s="237"/>
      <c r="AH63" s="564"/>
      <c r="AI63" s="401"/>
    </row>
    <row r="64" spans="1:35">
      <c r="A64" s="421" t="str">
        <f>A32</f>
        <v>Business Customer Service</v>
      </c>
      <c r="B64" s="232">
        <f t="shared" ref="B64:AG64" si="54">B32*$AH64</f>
        <v>183214.106881379</v>
      </c>
      <c r="C64" s="232">
        <f t="shared" si="54"/>
        <v>527.6972817801352</v>
      </c>
      <c r="D64" s="232">
        <f t="shared" si="54"/>
        <v>34.237675653874042</v>
      </c>
      <c r="E64" s="232">
        <f t="shared" si="54"/>
        <v>58.276894729998368</v>
      </c>
      <c r="F64" s="232">
        <f t="shared" si="54"/>
        <v>6.4104584202998209</v>
      </c>
      <c r="G64" s="232">
        <f t="shared" si="54"/>
        <v>158.95023037607055</v>
      </c>
      <c r="H64" s="232">
        <f t="shared" si="54"/>
        <v>658.09183373850658</v>
      </c>
      <c r="I64" s="232">
        <f t="shared" si="54"/>
        <v>518.22728638651051</v>
      </c>
      <c r="J64" s="232">
        <f t="shared" si="54"/>
        <v>44.581824468448744</v>
      </c>
      <c r="K64" s="235">
        <f t="shared" si="54"/>
        <v>1204.4377218322411</v>
      </c>
      <c r="L64" s="237">
        <f t="shared" si="54"/>
        <v>186425.01808876509</v>
      </c>
      <c r="M64" s="238">
        <f t="shared" si="54"/>
        <v>398516.06359896401</v>
      </c>
      <c r="N64" s="238">
        <f t="shared" si="54"/>
        <v>63.580475693448214</v>
      </c>
      <c r="O64" s="238">
        <f t="shared" si="54"/>
        <v>22215.018207290803</v>
      </c>
      <c r="P64" s="238">
        <f t="shared" si="54"/>
        <v>508.64380554758571</v>
      </c>
      <c r="Q64" s="447">
        <f t="shared" si="54"/>
        <v>165.30923680296533</v>
      </c>
      <c r="R64" s="237">
        <f t="shared" si="54"/>
        <v>421468.61532429885</v>
      </c>
      <c r="S64" s="238">
        <f t="shared" si="54"/>
        <v>3484787.7865635888</v>
      </c>
      <c r="T64" s="238">
        <f t="shared" si="54"/>
        <v>75034.056548295557</v>
      </c>
      <c r="U64" s="238">
        <f t="shared" si="54"/>
        <v>3436.6743457234602</v>
      </c>
      <c r="V64" s="238">
        <f t="shared" si="54"/>
        <v>66442.370683986883</v>
      </c>
      <c r="W64" s="238">
        <f t="shared" si="54"/>
        <v>3436.6743457234602</v>
      </c>
      <c r="X64" s="238">
        <f t="shared" si="54"/>
        <v>2672.9689355626915</v>
      </c>
      <c r="Y64" s="238">
        <f t="shared" si="54"/>
        <v>1336.4844677813458</v>
      </c>
      <c r="Z64" s="447">
        <f t="shared" si="54"/>
        <v>6109.6432812861513</v>
      </c>
      <c r="AA64" s="237">
        <f t="shared" si="54"/>
        <v>3643256.6591719482</v>
      </c>
      <c r="AB64" s="238">
        <f t="shared" si="54"/>
        <v>6235.1234356495252</v>
      </c>
      <c r="AC64" s="238">
        <f t="shared" si="54"/>
        <v>278.59062159285111</v>
      </c>
      <c r="AD64" s="238">
        <f t="shared" si="54"/>
        <v>46073.582323427239</v>
      </c>
      <c r="AE64" s="447">
        <f t="shared" si="54"/>
        <v>66.331100379250259</v>
      </c>
      <c r="AF64" s="237">
        <f t="shared" si="54"/>
        <v>52653.627481048861</v>
      </c>
      <c r="AG64" s="237">
        <f t="shared" si="54"/>
        <v>14196.079933938958</v>
      </c>
      <c r="AH64" s="564">
        <v>4318000</v>
      </c>
      <c r="AI64" s="401">
        <f>L64+R64+AA64+AF64+AG64-AH64</f>
        <v>0</v>
      </c>
    </row>
    <row r="65" spans="1:35">
      <c r="A65" s="421"/>
      <c r="B65" s="232"/>
      <c r="C65" s="232"/>
      <c r="D65" s="232"/>
      <c r="E65" s="232"/>
      <c r="F65" s="232"/>
      <c r="G65" s="232"/>
      <c r="H65" s="232"/>
      <c r="I65" s="232"/>
      <c r="J65" s="232"/>
      <c r="K65" s="235"/>
      <c r="L65" s="237"/>
      <c r="M65" s="238"/>
      <c r="N65" s="238"/>
      <c r="O65" s="232"/>
      <c r="P65" s="232"/>
      <c r="Q65" s="235"/>
      <c r="R65" s="237"/>
      <c r="S65" s="232"/>
      <c r="T65" s="232"/>
      <c r="U65" s="232"/>
      <c r="V65" s="232"/>
      <c r="W65" s="232"/>
      <c r="X65" s="232"/>
      <c r="Y65" s="235"/>
      <c r="Z65" s="235"/>
      <c r="AA65" s="237"/>
      <c r="AB65" s="238"/>
      <c r="AC65" s="232"/>
      <c r="AD65" s="447"/>
      <c r="AE65" s="235"/>
      <c r="AF65" s="237"/>
      <c r="AG65" s="237"/>
      <c r="AH65" s="564"/>
      <c r="AI65" s="401"/>
    </row>
    <row r="66" spans="1:35">
      <c r="A66" s="421" t="str">
        <f>A34</f>
        <v>Marketing, Research &amp; Analytics</v>
      </c>
      <c r="B66" s="232">
        <f t="shared" ref="B66:AG66" si="55">B34*$AH66</f>
        <v>4758261.9767367253</v>
      </c>
      <c r="C66" s="232">
        <f t="shared" si="55"/>
        <v>13704.850318908173</v>
      </c>
      <c r="D66" s="232">
        <f t="shared" si="55"/>
        <v>889.18824542888456</v>
      </c>
      <c r="E66" s="232">
        <f t="shared" si="55"/>
        <v>1513.5119071129952</v>
      </c>
      <c r="F66" s="232">
        <f t="shared" si="55"/>
        <v>166.48630978242949</v>
      </c>
      <c r="G66" s="232">
        <f t="shared" si="55"/>
        <v>4128.1037266506946</v>
      </c>
      <c r="H66" s="232">
        <f t="shared" si="55"/>
        <v>17091.333211073495</v>
      </c>
      <c r="I66" s="232">
        <f t="shared" si="55"/>
        <v>13458.904634002309</v>
      </c>
      <c r="J66" s="232">
        <f t="shared" si="55"/>
        <v>1157.8366089414412</v>
      </c>
      <c r="K66" s="235">
        <f t="shared" si="55"/>
        <v>31280.507340257827</v>
      </c>
      <c r="L66" s="237">
        <f t="shared" si="55"/>
        <v>4841652.6990388837</v>
      </c>
      <c r="M66" s="238">
        <f t="shared" si="55"/>
        <v>449278.38189562265</v>
      </c>
      <c r="N66" s="238">
        <f t="shared" si="55"/>
        <v>71.679251726355346</v>
      </c>
      <c r="O66" s="238">
        <f t="shared" si="55"/>
        <v>25044.730553188558</v>
      </c>
      <c r="P66" s="238">
        <f t="shared" si="55"/>
        <v>573.43401381084277</v>
      </c>
      <c r="Q66" s="447">
        <f t="shared" si="55"/>
        <v>186.36605448852387</v>
      </c>
      <c r="R66" s="237">
        <f t="shared" si="55"/>
        <v>475154.59176883695</v>
      </c>
      <c r="S66" s="238">
        <f t="shared" si="55"/>
        <v>78116.49314147605</v>
      </c>
      <c r="T66" s="238">
        <f t="shared" si="55"/>
        <v>1681.9954966359896</v>
      </c>
      <c r="U66" s="238">
        <f t="shared" si="55"/>
        <v>77.037961677984271</v>
      </c>
      <c r="V66" s="238">
        <f t="shared" si="55"/>
        <v>1489.4005924410289</v>
      </c>
      <c r="W66" s="238">
        <f t="shared" si="55"/>
        <v>77.037961677984271</v>
      </c>
      <c r="X66" s="238">
        <f t="shared" si="55"/>
        <v>59.91841463843221</v>
      </c>
      <c r="Y66" s="238">
        <f t="shared" si="55"/>
        <v>29.959207319216105</v>
      </c>
      <c r="Z66" s="447">
        <f t="shared" si="55"/>
        <v>136.95637631641645</v>
      </c>
      <c r="AA66" s="237">
        <f t="shared" si="55"/>
        <v>81668.799152183085</v>
      </c>
      <c r="AB66" s="238">
        <f t="shared" si="55"/>
        <v>1753.4348193108328</v>
      </c>
      <c r="AC66" s="238">
        <f t="shared" si="55"/>
        <v>78.344960011760605</v>
      </c>
      <c r="AD66" s="238">
        <f t="shared" si="55"/>
        <v>12956.764100992601</v>
      </c>
      <c r="AE66" s="447">
        <f t="shared" si="55"/>
        <v>18.65356190756205</v>
      </c>
      <c r="AF66" s="237">
        <f t="shared" si="55"/>
        <v>14807.197442222756</v>
      </c>
      <c r="AG66" s="237">
        <f t="shared" si="55"/>
        <v>21716.712597873648</v>
      </c>
      <c r="AH66" s="564">
        <v>5435000</v>
      </c>
      <c r="AI66" s="401">
        <f>L66+R66+AA66+AF66+AG66-AH66</f>
        <v>0</v>
      </c>
    </row>
    <row r="67" spans="1:35">
      <c r="A67" s="421"/>
      <c r="B67" s="232"/>
      <c r="C67" s="232"/>
      <c r="D67" s="232"/>
      <c r="E67" s="232"/>
      <c r="F67" s="232"/>
      <c r="G67" s="232"/>
      <c r="H67" s="232"/>
      <c r="I67" s="232"/>
      <c r="J67" s="232"/>
      <c r="K67" s="235"/>
      <c r="L67" s="237"/>
      <c r="M67" s="238"/>
      <c r="N67" s="238"/>
      <c r="O67" s="232"/>
      <c r="P67" s="232"/>
      <c r="Q67" s="235"/>
      <c r="R67" s="237"/>
      <c r="S67" s="232"/>
      <c r="T67" s="232"/>
      <c r="U67" s="232"/>
      <c r="V67" s="232"/>
      <c r="W67" s="232"/>
      <c r="X67" s="232"/>
      <c r="Y67" s="235"/>
      <c r="Z67" s="235"/>
      <c r="AA67" s="237"/>
      <c r="AB67" s="238"/>
      <c r="AC67" s="232"/>
      <c r="AD67" s="447"/>
      <c r="AE67" s="235"/>
      <c r="AF67" s="237"/>
      <c r="AG67" s="237"/>
      <c r="AH67" s="564"/>
      <c r="AI67" s="401"/>
    </row>
    <row r="68" spans="1:35">
      <c r="A68" s="421" t="str">
        <f>A36</f>
        <v>Customer Programs</v>
      </c>
      <c r="B68" s="232">
        <f t="shared" ref="B68:AG68" si="56">B36*$AH68</f>
        <v>2162387.264757012</v>
      </c>
      <c r="C68" s="232">
        <f t="shared" si="56"/>
        <v>6228.1551414981759</v>
      </c>
      <c r="D68" s="232">
        <f t="shared" si="56"/>
        <v>404.09068422199641</v>
      </c>
      <c r="E68" s="232">
        <f t="shared" si="56"/>
        <v>687.81393059063237</v>
      </c>
      <c r="F68" s="232">
        <f t="shared" si="56"/>
        <v>75.65953236496955</v>
      </c>
      <c r="G68" s="232">
        <f t="shared" si="56"/>
        <v>1876.0124956859497</v>
      </c>
      <c r="H68" s="232">
        <f t="shared" si="56"/>
        <v>7767.1388111947144</v>
      </c>
      <c r="I68" s="232">
        <f t="shared" si="56"/>
        <v>6116.3853777771974</v>
      </c>
      <c r="J68" s="232">
        <f t="shared" si="56"/>
        <v>526.17765690183364</v>
      </c>
      <c r="K68" s="235">
        <f t="shared" si="56"/>
        <v>14215.394410481893</v>
      </c>
      <c r="L68" s="237">
        <f t="shared" si="56"/>
        <v>2200284.0927977297</v>
      </c>
      <c r="M68" s="238">
        <f t="shared" si="56"/>
        <v>354260.62738831469</v>
      </c>
      <c r="N68" s="238">
        <f t="shared" si="56"/>
        <v>56.519827595895705</v>
      </c>
      <c r="O68" s="238">
        <f t="shared" si="56"/>
        <v>19748.027762005961</v>
      </c>
      <c r="P68" s="238">
        <f t="shared" si="56"/>
        <v>452.15862076716564</v>
      </c>
      <c r="Q68" s="447">
        <f t="shared" si="56"/>
        <v>146.95155174932884</v>
      </c>
      <c r="R68" s="237">
        <f t="shared" si="56"/>
        <v>374664.28515043308</v>
      </c>
      <c r="S68" s="238">
        <f t="shared" si="56"/>
        <v>1416841.5396037265</v>
      </c>
      <c r="T68" s="238">
        <f t="shared" si="56"/>
        <v>30507.271809350455</v>
      </c>
      <c r="U68" s="238">
        <f t="shared" si="56"/>
        <v>1397.2796248557459</v>
      </c>
      <c r="V68" s="238">
        <f t="shared" si="56"/>
        <v>27014.072747211085</v>
      </c>
      <c r="W68" s="238">
        <f t="shared" si="56"/>
        <v>1397.2796248557459</v>
      </c>
      <c r="X68" s="238">
        <f t="shared" si="56"/>
        <v>1086.773041554469</v>
      </c>
      <c r="Y68" s="238">
        <f t="shared" si="56"/>
        <v>543.38652077723452</v>
      </c>
      <c r="Z68" s="447">
        <f t="shared" si="56"/>
        <v>2484.0526664102149</v>
      </c>
      <c r="AA68" s="237">
        <f t="shared" si="56"/>
        <v>1481271.6556387413</v>
      </c>
      <c r="AB68" s="238">
        <f t="shared" si="56"/>
        <v>6201.841481423151</v>
      </c>
      <c r="AC68" s="238">
        <f t="shared" si="56"/>
        <v>277.10355555294933</v>
      </c>
      <c r="AD68" s="238">
        <f t="shared" si="56"/>
        <v>45827.649925494901</v>
      </c>
      <c r="AE68" s="447">
        <f t="shared" si="56"/>
        <v>65.97703703641649</v>
      </c>
      <c r="AF68" s="237">
        <f t="shared" si="56"/>
        <v>52372.571999507418</v>
      </c>
      <c r="AG68" s="237">
        <f t="shared" si="56"/>
        <v>17407.394413588394</v>
      </c>
      <c r="AH68" s="564">
        <v>4126000</v>
      </c>
      <c r="AI68" s="401">
        <f>L68+R68+AA68+AF68+AG68-AH68</f>
        <v>0</v>
      </c>
    </row>
    <row r="69" spans="1:35">
      <c r="A69" s="421"/>
      <c r="B69" s="232"/>
      <c r="C69" s="232"/>
      <c r="D69" s="232"/>
      <c r="E69" s="232"/>
      <c r="F69" s="232"/>
      <c r="G69" s="232"/>
      <c r="H69" s="232"/>
      <c r="I69" s="232"/>
      <c r="J69" s="232"/>
      <c r="K69" s="235"/>
      <c r="L69" s="237"/>
      <c r="M69" s="238"/>
      <c r="N69" s="238"/>
      <c r="O69" s="232"/>
      <c r="P69" s="232"/>
      <c r="Q69" s="235"/>
      <c r="R69" s="237"/>
      <c r="S69" s="232"/>
      <c r="T69" s="232"/>
      <c r="U69" s="232"/>
      <c r="V69" s="232"/>
      <c r="W69" s="232"/>
      <c r="X69" s="232"/>
      <c r="Y69" s="235"/>
      <c r="Z69" s="235"/>
      <c r="AA69" s="237"/>
      <c r="AB69" s="238"/>
      <c r="AC69" s="232"/>
      <c r="AD69" s="447"/>
      <c r="AE69" s="235"/>
      <c r="AF69" s="237"/>
      <c r="AG69" s="237"/>
      <c r="AH69" s="564"/>
      <c r="AI69" s="401"/>
    </row>
    <row r="70" spans="1:35">
      <c r="A70" s="421" t="str">
        <f>A38</f>
        <v>Customer Operation Support and Projects</v>
      </c>
      <c r="B70" s="232">
        <f t="shared" ref="B70:AG70" si="57">B38*$AH70</f>
        <v>1480708.851816108</v>
      </c>
      <c r="C70" s="232">
        <f t="shared" si="57"/>
        <v>4264.7700524339889</v>
      </c>
      <c r="D70" s="232">
        <f t="shared" si="57"/>
        <v>276.70374442904119</v>
      </c>
      <c r="E70" s="232">
        <f t="shared" si="57"/>
        <v>470.98509690049576</v>
      </c>
      <c r="F70" s="232">
        <f t="shared" si="57"/>
        <v>51.808360659054536</v>
      </c>
      <c r="G70" s="232">
        <f t="shared" si="57"/>
        <v>1284.6118517961022</v>
      </c>
      <c r="H70" s="232">
        <f t="shared" si="57"/>
        <v>5318.5992067488469</v>
      </c>
      <c r="I70" s="232">
        <f t="shared" si="57"/>
        <v>4188.2349741876578</v>
      </c>
      <c r="J70" s="232">
        <f t="shared" si="57"/>
        <v>360.30359912887923</v>
      </c>
      <c r="K70" s="235">
        <f t="shared" si="57"/>
        <v>9734.084490190995</v>
      </c>
      <c r="L70" s="237">
        <f t="shared" si="57"/>
        <v>1506658.9531925831</v>
      </c>
      <c r="M70" s="238">
        <f t="shared" si="57"/>
        <v>292739.79718035797</v>
      </c>
      <c r="N70" s="238">
        <f t="shared" si="57"/>
        <v>46.704605558537615</v>
      </c>
      <c r="O70" s="238">
        <f t="shared" si="57"/>
        <v>16318.589182153042</v>
      </c>
      <c r="P70" s="238">
        <f t="shared" si="57"/>
        <v>373.63684446830092</v>
      </c>
      <c r="Q70" s="447">
        <f t="shared" si="57"/>
        <v>121.43197445219779</v>
      </c>
      <c r="R70" s="237">
        <f t="shared" si="57"/>
        <v>309600.15978699003</v>
      </c>
      <c r="S70" s="238">
        <f t="shared" si="57"/>
        <v>363393.03948078444</v>
      </c>
      <c r="T70" s="238">
        <f t="shared" si="57"/>
        <v>7824.5378323443083</v>
      </c>
      <c r="U70" s="238">
        <f t="shared" si="57"/>
        <v>358.37577858065526</v>
      </c>
      <c r="V70" s="238">
        <f t="shared" si="57"/>
        <v>6928.5983858926693</v>
      </c>
      <c r="W70" s="238">
        <f t="shared" si="57"/>
        <v>358.37577858065526</v>
      </c>
      <c r="X70" s="238">
        <f t="shared" si="57"/>
        <v>278.73671667384303</v>
      </c>
      <c r="Y70" s="238">
        <f t="shared" si="57"/>
        <v>139.36835833692152</v>
      </c>
      <c r="Z70" s="447">
        <f t="shared" si="57"/>
        <v>637.11249525449819</v>
      </c>
      <c r="AA70" s="237">
        <f t="shared" si="57"/>
        <v>379918.144826448</v>
      </c>
      <c r="AB70" s="238">
        <f t="shared" si="57"/>
        <v>3110.1805601538708</v>
      </c>
      <c r="AC70" s="238">
        <f t="shared" si="57"/>
        <v>138.96551438985378</v>
      </c>
      <c r="AD70" s="238">
        <f t="shared" si="57"/>
        <v>22982.249117902968</v>
      </c>
      <c r="AE70" s="447">
        <f t="shared" si="57"/>
        <v>33.087027235679479</v>
      </c>
      <c r="AF70" s="237">
        <f t="shared" si="57"/>
        <v>26264.48221968237</v>
      </c>
      <c r="AG70" s="237">
        <f t="shared" si="57"/>
        <v>7558.2599742966422</v>
      </c>
      <c r="AH70" s="564">
        <v>2230000</v>
      </c>
      <c r="AI70" s="401">
        <f>L70+R70+AA70+AF70+AG70-AH70</f>
        <v>0</v>
      </c>
    </row>
    <row r="71" spans="1:35">
      <c r="A71" s="421"/>
      <c r="B71" s="232"/>
      <c r="C71" s="232"/>
      <c r="D71" s="232"/>
      <c r="E71" s="232"/>
      <c r="F71" s="232"/>
      <c r="G71" s="232"/>
      <c r="H71" s="232"/>
      <c r="I71" s="232"/>
      <c r="J71" s="232"/>
      <c r="K71" s="235"/>
      <c r="L71" s="237"/>
      <c r="M71" s="238"/>
      <c r="N71" s="238"/>
      <c r="O71" s="238"/>
      <c r="P71" s="238"/>
      <c r="Q71" s="447"/>
      <c r="R71" s="237"/>
      <c r="S71" s="238"/>
      <c r="T71" s="238"/>
      <c r="U71" s="238"/>
      <c r="V71" s="238"/>
      <c r="W71" s="238"/>
      <c r="X71" s="238"/>
      <c r="Y71" s="447"/>
      <c r="Z71" s="447"/>
      <c r="AA71" s="237"/>
      <c r="AB71" s="238"/>
      <c r="AC71" s="238"/>
      <c r="AD71" s="447"/>
      <c r="AE71" s="447"/>
      <c r="AF71" s="237"/>
      <c r="AG71" s="237"/>
      <c r="AH71" s="564"/>
      <c r="AI71" s="401"/>
    </row>
    <row r="72" spans="1:35">
      <c r="A72" s="421" t="str">
        <f>A40</f>
        <v xml:space="preserve">Shared </v>
      </c>
      <c r="B72" s="232">
        <f t="shared" ref="B72:AG72" si="58">B40*$AH72</f>
        <v>179942.6452207019</v>
      </c>
      <c r="C72" s="232">
        <f t="shared" si="58"/>
        <v>518.27474628233676</v>
      </c>
      <c r="D72" s="232">
        <f t="shared" si="58"/>
        <v>33.626329479941781</v>
      </c>
      <c r="E72" s="232">
        <f t="shared" si="58"/>
        <v>57.236305497773252</v>
      </c>
      <c r="F72" s="232">
        <f t="shared" si="58"/>
        <v>6.2959936047550578</v>
      </c>
      <c r="G72" s="232">
        <f t="shared" si="58"/>
        <v>156.11202324517654</v>
      </c>
      <c r="H72" s="232">
        <f t="shared" si="58"/>
        <v>646.34097983360425</v>
      </c>
      <c r="I72" s="232">
        <f t="shared" si="58"/>
        <v>508.97384663894854</v>
      </c>
      <c r="J72" s="232">
        <f t="shared" si="58"/>
        <v>43.785773705796537</v>
      </c>
      <c r="K72" s="235">
        <f t="shared" si="58"/>
        <v>1182.9313438752285</v>
      </c>
      <c r="L72" s="237">
        <f t="shared" si="58"/>
        <v>183096.22256286547</v>
      </c>
      <c r="M72" s="238">
        <f t="shared" si="58"/>
        <v>35575.105397254265</v>
      </c>
      <c r="N72" s="238">
        <f t="shared" si="58"/>
        <v>5.6757614826743019</v>
      </c>
      <c r="O72" s="238">
        <f t="shared" si="58"/>
        <v>1983.1110620464012</v>
      </c>
      <c r="P72" s="238">
        <f t="shared" si="58"/>
        <v>45.406091861394415</v>
      </c>
      <c r="Q72" s="447">
        <f t="shared" si="58"/>
        <v>14.756979854953185</v>
      </c>
      <c r="R72" s="237">
        <f t="shared" si="58"/>
        <v>37624.055292499681</v>
      </c>
      <c r="S72" s="238">
        <f t="shared" si="58"/>
        <v>44161.216905512374</v>
      </c>
      <c r="T72" s="238">
        <f t="shared" si="58"/>
        <v>950.87432850462221</v>
      </c>
      <c r="U72" s="238">
        <f t="shared" si="58"/>
        <v>43.551495962043759</v>
      </c>
      <c r="V72" s="238">
        <f t="shared" si="58"/>
        <v>841.99558859951264</v>
      </c>
      <c r="W72" s="238">
        <f t="shared" si="58"/>
        <v>43.551495962043759</v>
      </c>
      <c r="X72" s="238">
        <f t="shared" si="58"/>
        <v>33.873385748256261</v>
      </c>
      <c r="Y72" s="238">
        <f t="shared" si="58"/>
        <v>16.936692874128131</v>
      </c>
      <c r="Z72" s="447">
        <f t="shared" si="58"/>
        <v>77.424881710300014</v>
      </c>
      <c r="AA72" s="237">
        <f t="shared" si="58"/>
        <v>46169.424774873281</v>
      </c>
      <c r="AB72" s="238">
        <f t="shared" si="58"/>
        <v>377.96364654784708</v>
      </c>
      <c r="AC72" s="238">
        <f t="shared" si="58"/>
        <v>16.887737398946356</v>
      </c>
      <c r="AD72" s="238">
        <f t="shared" si="58"/>
        <v>2792.9100945971768</v>
      </c>
      <c r="AE72" s="447">
        <f t="shared" si="58"/>
        <v>4.0208898568919906</v>
      </c>
      <c r="AF72" s="237">
        <f t="shared" si="58"/>
        <v>3191.7823684008617</v>
      </c>
      <c r="AG72" s="237">
        <f t="shared" si="58"/>
        <v>918.51500136071309</v>
      </c>
      <c r="AH72" s="564">
        <v>271000</v>
      </c>
      <c r="AI72" s="401">
        <f>L72+R72+AA72+AF72+AG72-AH72</f>
        <v>0</v>
      </c>
    </row>
    <row r="73" spans="1:35">
      <c r="A73" s="421"/>
      <c r="B73" s="232"/>
      <c r="C73" s="232"/>
      <c r="D73" s="232"/>
      <c r="E73" s="232"/>
      <c r="F73" s="232"/>
      <c r="G73" s="232"/>
      <c r="H73" s="232"/>
      <c r="I73" s="232"/>
      <c r="J73" s="232"/>
      <c r="K73" s="235"/>
      <c r="L73" s="237"/>
      <c r="M73" s="238"/>
      <c r="N73" s="238"/>
      <c r="O73" s="232"/>
      <c r="P73" s="232"/>
      <c r="Q73" s="235"/>
      <c r="R73" s="237"/>
      <c r="S73" s="232"/>
      <c r="T73" s="232"/>
      <c r="U73" s="232"/>
      <c r="V73" s="232"/>
      <c r="W73" s="232"/>
      <c r="X73" s="232"/>
      <c r="Y73" s="235"/>
      <c r="Z73" s="235"/>
      <c r="AA73" s="237"/>
      <c r="AB73" s="238"/>
      <c r="AC73" s="232"/>
      <c r="AD73" s="447"/>
      <c r="AE73" s="235"/>
      <c r="AF73" s="237"/>
      <c r="AG73" s="237"/>
      <c r="AH73" s="564"/>
      <c r="AI73" s="401"/>
    </row>
    <row r="74" spans="1:35">
      <c r="A74" s="421" t="str">
        <f>A42</f>
        <v>Total Customer Services Costs</v>
      </c>
      <c r="B74" s="232">
        <f t="shared" ref="B74:AH74" si="59">SUM(B46:B73)</f>
        <v>33307981.225852653</v>
      </c>
      <c r="C74" s="232">
        <f t="shared" si="59"/>
        <v>95934.376744505003</v>
      </c>
      <c r="D74" s="232">
        <f t="shared" si="59"/>
        <v>6224.345260894168</v>
      </c>
      <c r="E74" s="232">
        <f t="shared" si="59"/>
        <v>10594.630231309224</v>
      </c>
      <c r="F74" s="232">
        <f t="shared" si="59"/>
        <v>1165.4093254440147</v>
      </c>
      <c r="G74" s="232">
        <f t="shared" si="59"/>
        <v>28896.853955895906</v>
      </c>
      <c r="H74" s="232">
        <f>SUM(H46:H73)</f>
        <v>119639.86188705939</v>
      </c>
      <c r="I74" s="232">
        <f t="shared" si="59"/>
        <v>94212.74933191725</v>
      </c>
      <c r="J74" s="232">
        <f t="shared" si="59"/>
        <v>8104.892126951554</v>
      </c>
      <c r="K74" s="235">
        <f t="shared" si="59"/>
        <v>218964.52030558328</v>
      </c>
      <c r="L74" s="237">
        <f t="shared" si="59"/>
        <v>33891718.865022212</v>
      </c>
      <c r="M74" s="238">
        <f t="shared" ref="M74:N74" si="60">SUM(M46:M73)</f>
        <v>6585871.4404732017</v>
      </c>
      <c r="N74" s="238">
        <f t="shared" si="60"/>
        <v>1050.7301393565949</v>
      </c>
      <c r="O74" s="232">
        <f t="shared" si="59"/>
        <v>367125.11069119425</v>
      </c>
      <c r="P74" s="232">
        <f t="shared" si="59"/>
        <v>8405.8411148527593</v>
      </c>
      <c r="Q74" s="235">
        <f t="shared" si="59"/>
        <v>1884.4629602183454</v>
      </c>
      <c r="R74" s="237">
        <f t="shared" si="59"/>
        <v>6964337.5853788219</v>
      </c>
      <c r="S74" s="232">
        <f t="shared" si="59"/>
        <v>8174387.9100782927</v>
      </c>
      <c r="T74" s="232">
        <f t="shared" si="59"/>
        <v>176009.99609142944</v>
      </c>
      <c r="U74" s="232">
        <f t="shared" si="59"/>
        <v>8061.5265385387511</v>
      </c>
      <c r="V74" s="232">
        <f t="shared" si="59"/>
        <v>155856.17974508245</v>
      </c>
      <c r="W74" s="232">
        <f t="shared" si="59"/>
        <v>8061.5265385387511</v>
      </c>
      <c r="X74" s="232">
        <f t="shared" si="59"/>
        <v>6270.076196641252</v>
      </c>
      <c r="Y74" s="232">
        <f t="shared" si="59"/>
        <v>3135.038098320626</v>
      </c>
      <c r="Z74" s="235">
        <f t="shared" si="59"/>
        <v>14331.60273518</v>
      </c>
      <c r="AA74" s="237">
        <f t="shared" si="59"/>
        <v>8546113.8560220245</v>
      </c>
      <c r="AB74" s="238">
        <f t="shared" si="59"/>
        <v>69962.326205828984</v>
      </c>
      <c r="AC74" s="232">
        <f t="shared" si="59"/>
        <v>3125.9762772817207</v>
      </c>
      <c r="AD74" s="238">
        <f>SUM(AD46:AD73)</f>
        <v>516976.9338571151</v>
      </c>
      <c r="AE74" s="235">
        <f>SUM(AE46:AE73)</f>
        <v>744.28006601945719</v>
      </c>
      <c r="AF74" s="237">
        <f t="shared" si="59"/>
        <v>590809.51640624518</v>
      </c>
      <c r="AG74" s="237">
        <f t="shared" si="59"/>
        <v>170020.17717069169</v>
      </c>
      <c r="AH74" s="564">
        <f t="shared" si="59"/>
        <v>50163000</v>
      </c>
      <c r="AI74" s="401">
        <f>L74+R74+AA74+AF74+AG74-AH74</f>
        <v>0</v>
      </c>
    </row>
    <row r="75" spans="1:35">
      <c r="A75" s="11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46"/>
      <c r="M75" s="12"/>
      <c r="N75" s="12"/>
      <c r="O75" s="12"/>
      <c r="P75" s="12"/>
      <c r="Q75" s="12"/>
      <c r="R75" s="146"/>
      <c r="S75" s="12"/>
      <c r="T75" s="12"/>
      <c r="U75" s="12"/>
      <c r="V75" s="12"/>
      <c r="W75" s="12"/>
      <c r="X75" s="12"/>
      <c r="Y75" s="12"/>
      <c r="Z75" s="12"/>
      <c r="AA75" s="146"/>
      <c r="AB75" s="12"/>
      <c r="AC75" s="12"/>
      <c r="AD75" s="12"/>
      <c r="AE75" s="12"/>
      <c r="AF75" s="146"/>
      <c r="AG75" s="146"/>
      <c r="AH75" s="146"/>
    </row>
    <row r="76" spans="1:35" ht="18.75" thickBot="1">
      <c r="A76" s="425" t="s">
        <v>229</v>
      </c>
      <c r="B76" s="426">
        <f t="shared" ref="B76:AH76" si="61">B74/B10</f>
        <v>26.486575578273055</v>
      </c>
      <c r="C76" s="426">
        <f t="shared" si="61"/>
        <v>26.486575578273055</v>
      </c>
      <c r="D76" s="426">
        <f t="shared" si="61"/>
        <v>26.486575578273055</v>
      </c>
      <c r="E76" s="426">
        <f t="shared" si="61"/>
        <v>26.486575578273058</v>
      </c>
      <c r="F76" s="426">
        <f t="shared" si="61"/>
        <v>26.486575578273062</v>
      </c>
      <c r="G76" s="426">
        <f t="shared" si="61"/>
        <v>26.486575578273058</v>
      </c>
      <c r="H76" s="426">
        <f t="shared" si="61"/>
        <v>26.486575578273055</v>
      </c>
      <c r="I76" s="426">
        <f t="shared" si="61"/>
        <v>26.486575578273055</v>
      </c>
      <c r="J76" s="426">
        <f t="shared" si="61"/>
        <v>26.486575578273051</v>
      </c>
      <c r="K76" s="448">
        <f t="shared" si="61"/>
        <v>26.486575578273047</v>
      </c>
      <c r="L76" s="450">
        <f t="shared" si="61"/>
        <v>26.486575578273055</v>
      </c>
      <c r="M76" s="449">
        <f t="shared" ref="M76:N76" si="62">M74/M10</f>
        <v>52.536506967829752</v>
      </c>
      <c r="N76" s="449">
        <f t="shared" si="62"/>
        <v>52.536506967829744</v>
      </c>
      <c r="O76" s="426">
        <f t="shared" si="61"/>
        <v>52.536506967829744</v>
      </c>
      <c r="P76" s="426">
        <f t="shared" si="61"/>
        <v>52.536506967829744</v>
      </c>
      <c r="Q76" s="448">
        <f t="shared" si="61"/>
        <v>36.239672311891255</v>
      </c>
      <c r="R76" s="450">
        <f t="shared" si="61"/>
        <v>52.530114991769537</v>
      </c>
      <c r="S76" s="426">
        <f t="shared" si="61"/>
        <v>447.86258547437501</v>
      </c>
      <c r="T76" s="426">
        <f t="shared" si="61"/>
        <v>447.86258547437518</v>
      </c>
      <c r="U76" s="426">
        <f t="shared" si="61"/>
        <v>447.86258547437507</v>
      </c>
      <c r="V76" s="426">
        <f t="shared" si="61"/>
        <v>447.86258547437484</v>
      </c>
      <c r="W76" s="426">
        <f t="shared" si="61"/>
        <v>447.86258547437507</v>
      </c>
      <c r="X76" s="426">
        <f t="shared" si="61"/>
        <v>447.86258547437512</v>
      </c>
      <c r="Y76" s="426">
        <f t="shared" si="61"/>
        <v>447.86258547437512</v>
      </c>
      <c r="Z76" s="448">
        <f t="shared" si="61"/>
        <v>447.86258547437501</v>
      </c>
      <c r="AA76" s="450">
        <f t="shared" si="61"/>
        <v>447.86258547437507</v>
      </c>
      <c r="AB76" s="449">
        <f t="shared" si="61"/>
        <v>148.85601320389145</v>
      </c>
      <c r="AC76" s="426">
        <f t="shared" si="61"/>
        <v>148.85601320389145</v>
      </c>
      <c r="AD76" s="426">
        <f>AD74/AD10</f>
        <v>148.85601320389148</v>
      </c>
      <c r="AE76" s="448">
        <f>AE74/AE10</f>
        <v>148.85601320389145</v>
      </c>
      <c r="AF76" s="450">
        <f t="shared" si="61"/>
        <v>148.85601320389145</v>
      </c>
      <c r="AG76" s="450">
        <f t="shared" si="61"/>
        <v>31.578784764244372</v>
      </c>
      <c r="AH76" s="450">
        <f t="shared" si="61"/>
        <v>34.821052982311464</v>
      </c>
      <c r="AI76" s="360"/>
    </row>
    <row r="77" spans="1:35">
      <c r="A77" s="322"/>
      <c r="B77" s="320"/>
      <c r="C77" s="320"/>
      <c r="D77" s="320"/>
      <c r="E77" s="320"/>
      <c r="F77" s="320"/>
      <c r="G77" s="320"/>
      <c r="H77" s="320"/>
      <c r="I77" s="320"/>
      <c r="J77" s="320"/>
      <c r="K77" s="320"/>
      <c r="L77" s="320"/>
      <c r="M77" s="320"/>
      <c r="N77" s="320"/>
      <c r="O77" s="320"/>
      <c r="P77" s="320"/>
      <c r="Q77" s="320"/>
      <c r="R77" s="320"/>
      <c r="S77" s="320"/>
      <c r="T77" s="320"/>
      <c r="U77" s="320"/>
      <c r="V77" s="320"/>
      <c r="W77" s="320"/>
      <c r="X77" s="320"/>
      <c r="Y77" s="320"/>
      <c r="Z77" s="320"/>
      <c r="AA77" s="320"/>
      <c r="AB77" s="320"/>
      <c r="AC77" s="320"/>
      <c r="AD77" s="320"/>
      <c r="AE77" s="320"/>
      <c r="AF77" s="320"/>
      <c r="AG77" s="320"/>
      <c r="AH77" s="575"/>
    </row>
    <row r="78" spans="1:35">
      <c r="A78" s="33" t="s">
        <v>376</v>
      </c>
      <c r="B78" s="12"/>
      <c r="C78" s="12"/>
      <c r="D78" s="12"/>
      <c r="E78" s="12"/>
      <c r="F78" s="12"/>
      <c r="G78" s="12"/>
      <c r="H78" s="12"/>
      <c r="I78" s="12"/>
      <c r="J78" s="12"/>
      <c r="K78" s="482"/>
      <c r="L78" s="482"/>
      <c r="M78" s="12"/>
      <c r="N78" s="12"/>
      <c r="O78" s="12"/>
      <c r="P78" s="12"/>
      <c r="Q78" s="12"/>
      <c r="R78" s="482"/>
      <c r="S78" s="12"/>
      <c r="T78" s="12"/>
      <c r="U78" s="12"/>
      <c r="V78" s="12"/>
      <c r="W78" s="12"/>
      <c r="X78" s="12"/>
      <c r="Y78" s="12"/>
      <c r="Z78" s="12"/>
      <c r="AA78" s="482"/>
      <c r="AB78" s="12"/>
      <c r="AC78" s="12"/>
      <c r="AD78" s="12"/>
      <c r="AE78" s="12"/>
      <c r="AF78" s="482"/>
      <c r="AG78" s="12"/>
      <c r="AH78" s="101"/>
      <c r="AI78" s="401"/>
    </row>
    <row r="79" spans="1:35">
      <c r="A79" s="11"/>
      <c r="B79" s="576" t="s">
        <v>526</v>
      </c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01"/>
    </row>
    <row r="80" spans="1:35">
      <c r="A80" s="11"/>
      <c r="B80" s="576" t="s">
        <v>527</v>
      </c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01"/>
    </row>
    <row r="81" spans="1:34" ht="13.5" thickBot="1">
      <c r="A81" s="598"/>
      <c r="B81" s="597" t="s">
        <v>374</v>
      </c>
      <c r="C81" s="599"/>
      <c r="D81" s="599"/>
      <c r="E81" s="599"/>
      <c r="F81" s="599"/>
      <c r="G81" s="599"/>
      <c r="H81" s="599"/>
      <c r="I81" s="599"/>
      <c r="J81" s="599"/>
      <c r="K81" s="599"/>
      <c r="L81" s="599"/>
      <c r="M81" s="599"/>
      <c r="N81" s="599"/>
      <c r="O81" s="599"/>
      <c r="P81" s="599"/>
      <c r="Q81" s="599"/>
      <c r="R81" s="599"/>
      <c r="S81" s="599"/>
      <c r="T81" s="599"/>
      <c r="U81" s="599"/>
      <c r="V81" s="599"/>
      <c r="W81" s="599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106"/>
    </row>
  </sheetData>
  <mergeCells count="13">
    <mergeCell ref="A12:B12"/>
    <mergeCell ref="V3:W3"/>
    <mergeCell ref="A6:B6"/>
    <mergeCell ref="S3:U3"/>
    <mergeCell ref="M3:N3"/>
    <mergeCell ref="AB3:AC3"/>
    <mergeCell ref="B2:L2"/>
    <mergeCell ref="A1:AH1"/>
    <mergeCell ref="M2:R2"/>
    <mergeCell ref="S2:AA2"/>
    <mergeCell ref="X3:Y3"/>
    <mergeCell ref="AD3:AE3"/>
    <mergeCell ref="AB2:AF2"/>
  </mergeCells>
  <phoneticPr fontId="0" type="noConversion"/>
  <printOptions horizontalCentered="1"/>
  <pageMargins left="0.75" right="0.75" top="1" bottom="1" header="0.5" footer="0.5"/>
  <pageSetup scale="35" orientation="portrait" r:id="rId1"/>
  <headerFooter alignWithMargins="0">
    <oddFooter>&amp;L&amp;F
&amp;A&amp;R&amp;P of &amp;N</oddFooter>
  </headerFooter>
  <colBreaks count="2" manualBreakCount="2">
    <brk id="21" max="78" man="1"/>
    <brk id="27" max="78" man="1"/>
  </colBreaks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400-000000000000}">
  <sheetPr codeName="Sheet68">
    <pageSetUpPr fitToPage="1"/>
  </sheetPr>
  <dimension ref="A1:AR48"/>
  <sheetViews>
    <sheetView topLeftCell="A19" zoomScaleNormal="100" workbookViewId="0">
      <selection activeCell="H47" sqref="H47"/>
    </sheetView>
  </sheetViews>
  <sheetFormatPr defaultRowHeight="12.75"/>
  <cols>
    <col min="1" max="1" width="17.5703125" bestFit="1" customWidth="1"/>
    <col min="2" max="2" width="14" customWidth="1"/>
    <col min="3" max="3" width="12.28515625" bestFit="1" customWidth="1"/>
    <col min="4" max="5" width="14" bestFit="1" customWidth="1"/>
    <col min="6" max="6" width="12.28515625" bestFit="1" customWidth="1"/>
    <col min="7" max="7" width="14" bestFit="1" customWidth="1"/>
    <col min="8" max="10" width="17.28515625" customWidth="1"/>
    <col min="11" max="11" width="15.140625" customWidth="1"/>
    <col min="12" max="12" width="14" bestFit="1" customWidth="1"/>
    <col min="13" max="13" width="12.28515625" bestFit="1" customWidth="1"/>
    <col min="14" max="14" width="26.85546875" bestFit="1" customWidth="1"/>
    <col min="15" max="15" width="16.42578125" bestFit="1" customWidth="1"/>
    <col min="16" max="16" width="12.7109375" bestFit="1" customWidth="1"/>
    <col min="17" max="17" width="11.140625" bestFit="1" customWidth="1"/>
    <col min="18" max="18" width="12.7109375" bestFit="1" customWidth="1"/>
    <col min="19" max="19" width="11.140625" bestFit="1" customWidth="1"/>
    <col min="20" max="22" width="12.7109375" bestFit="1" customWidth="1"/>
    <col min="23" max="23" width="11.140625" bestFit="1" customWidth="1"/>
    <col min="24" max="24" width="13.85546875" bestFit="1" customWidth="1"/>
    <col min="25" max="25" width="16.42578125" bestFit="1" customWidth="1"/>
    <col min="26" max="26" width="12.28515625" bestFit="1" customWidth="1"/>
    <col min="27" max="27" width="11.28515625" bestFit="1" customWidth="1"/>
    <col min="28" max="28" width="8.42578125" bestFit="1" customWidth="1"/>
    <col min="29" max="29" width="14" bestFit="1" customWidth="1"/>
  </cols>
  <sheetData>
    <row r="1" spans="1:44" ht="18">
      <c r="A1" s="863" t="s">
        <v>459</v>
      </c>
      <c r="B1" s="863"/>
      <c r="C1" s="863"/>
      <c r="D1" s="863"/>
      <c r="E1" s="863"/>
      <c r="F1" s="863"/>
      <c r="G1" s="863"/>
      <c r="H1" s="863"/>
      <c r="I1" s="863"/>
      <c r="J1" s="863"/>
      <c r="K1" s="863"/>
      <c r="L1" s="863"/>
      <c r="M1" s="760"/>
      <c r="N1" s="760"/>
      <c r="O1" s="760"/>
      <c r="P1" s="760"/>
      <c r="Q1" s="760"/>
      <c r="R1" s="760"/>
      <c r="S1" s="760"/>
      <c r="T1" s="760"/>
      <c r="U1" s="760"/>
      <c r="V1" s="760"/>
      <c r="W1" s="760"/>
      <c r="X1" s="760"/>
      <c r="Y1" s="760"/>
      <c r="Z1" s="760"/>
      <c r="AA1" s="760"/>
      <c r="AB1" s="760"/>
      <c r="AC1" s="760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</row>
    <row r="2" spans="1:44" ht="18">
      <c r="A2" s="863" t="s">
        <v>460</v>
      </c>
      <c r="B2" s="863"/>
      <c r="C2" s="863"/>
      <c r="D2" s="863"/>
      <c r="E2" s="863"/>
      <c r="F2" s="863"/>
      <c r="G2" s="863"/>
      <c r="H2" s="863"/>
      <c r="I2" s="863"/>
      <c r="J2" s="863"/>
      <c r="K2" s="863"/>
      <c r="L2" s="863"/>
      <c r="M2" s="760"/>
      <c r="N2" s="760"/>
      <c r="O2" s="760"/>
      <c r="P2" s="760"/>
      <c r="Q2" s="760"/>
      <c r="R2" s="760"/>
      <c r="S2" s="760"/>
      <c r="T2" s="760"/>
      <c r="U2" s="760"/>
      <c r="V2" s="760"/>
      <c r="W2" s="760"/>
      <c r="X2" s="760"/>
      <c r="Y2" s="760"/>
      <c r="Z2" s="760"/>
      <c r="AA2" s="760"/>
      <c r="AB2" s="760"/>
      <c r="AC2" s="760"/>
    </row>
    <row r="3" spans="1:44" ht="18.75" thickBot="1">
      <c r="A3" s="759"/>
      <c r="B3" s="759"/>
      <c r="C3" s="759"/>
      <c r="D3" s="759"/>
      <c r="E3" s="759"/>
      <c r="F3" s="759"/>
      <c r="G3" s="759"/>
      <c r="H3" s="759"/>
      <c r="I3" s="759"/>
      <c r="J3" s="759"/>
      <c r="K3" s="759"/>
      <c r="L3" s="760"/>
      <c r="M3" s="760"/>
      <c r="N3" s="760"/>
      <c r="O3" s="760"/>
      <c r="P3" s="760"/>
      <c r="Q3" s="760"/>
      <c r="R3" s="760"/>
      <c r="S3" s="760"/>
      <c r="T3" s="760"/>
      <c r="U3" s="760"/>
      <c r="V3" s="760"/>
      <c r="W3" s="760"/>
      <c r="X3" s="760"/>
      <c r="Y3" s="760"/>
      <c r="Z3" s="760"/>
      <c r="AA3" s="760"/>
      <c r="AB3" s="760"/>
      <c r="AC3" s="760"/>
    </row>
    <row r="4" spans="1:44" ht="13.5" thickBot="1">
      <c r="A4" s="111"/>
      <c r="B4" s="856" t="s">
        <v>66</v>
      </c>
      <c r="C4" s="857"/>
      <c r="D4" s="857"/>
      <c r="E4" s="857"/>
      <c r="F4" s="857"/>
      <c r="G4" s="857"/>
      <c r="H4" s="857"/>
      <c r="I4" s="857"/>
      <c r="J4" s="857"/>
      <c r="K4" s="857"/>
      <c r="L4" s="858"/>
      <c r="N4" s="747"/>
      <c r="O4" s="748"/>
      <c r="P4" s="748"/>
      <c r="Q4" s="748"/>
      <c r="R4" s="748"/>
      <c r="S4" s="748"/>
      <c r="T4" s="748"/>
      <c r="U4" s="748"/>
      <c r="V4" s="748"/>
      <c r="W4" s="748"/>
      <c r="X4" s="748"/>
      <c r="Y4" s="748"/>
    </row>
    <row r="5" spans="1:44" ht="13.5" thickBot="1">
      <c r="A5" s="89"/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N5" s="749"/>
      <c r="O5" s="750" t="s">
        <v>28</v>
      </c>
      <c r="P5" s="750" t="s">
        <v>29</v>
      </c>
      <c r="Q5" s="750" t="s">
        <v>30</v>
      </c>
      <c r="R5" s="750" t="s">
        <v>31</v>
      </c>
      <c r="S5" s="750" t="s">
        <v>75</v>
      </c>
      <c r="T5" s="750" t="s">
        <v>73</v>
      </c>
      <c r="U5" s="750" t="s">
        <v>392</v>
      </c>
      <c r="V5" s="750" t="s">
        <v>74</v>
      </c>
      <c r="W5" s="750" t="s">
        <v>105</v>
      </c>
      <c r="X5" s="750" t="s">
        <v>104</v>
      </c>
      <c r="Y5" s="750" t="s">
        <v>2</v>
      </c>
    </row>
    <row r="6" spans="1:44" ht="18.75" customHeight="1" thickBot="1">
      <c r="A6" s="89"/>
      <c r="B6" s="59" t="s">
        <v>28</v>
      </c>
      <c r="C6" s="59" t="s">
        <v>29</v>
      </c>
      <c r="D6" s="59" t="s">
        <v>30</v>
      </c>
      <c r="E6" s="59" t="s">
        <v>31</v>
      </c>
      <c r="F6" s="59" t="s">
        <v>75</v>
      </c>
      <c r="G6" s="59" t="s">
        <v>73</v>
      </c>
      <c r="H6" s="59" t="s">
        <v>392</v>
      </c>
      <c r="I6" s="59" t="s">
        <v>74</v>
      </c>
      <c r="J6" s="59" t="s">
        <v>105</v>
      </c>
      <c r="K6" s="59" t="s">
        <v>104</v>
      </c>
      <c r="L6" s="59" t="s">
        <v>2</v>
      </c>
      <c r="N6" s="751" t="s">
        <v>456</v>
      </c>
      <c r="O6" s="791">
        <v>1288365824.1776075</v>
      </c>
      <c r="P6" s="754">
        <f>SUM('Sch DM TSM'!Z7:AB37)</f>
        <v>3275344.0711684744</v>
      </c>
      <c r="Q6" s="754">
        <f>SUM('Sch DS TSM'!Z7:AB37)</f>
        <v>377002.58876880945</v>
      </c>
      <c r="R6" s="754">
        <f>SUM('Sch DT TSM'!Z7:AB37)</f>
        <v>1107879.4509187299</v>
      </c>
      <c r="S6" s="754">
        <f>SUM('Sch DT-RV TSM'!Z7:AB37)</f>
        <v>114505.91777187491</v>
      </c>
      <c r="T6" s="754">
        <f>SUM('Sch DR-TOU TSM'!Z7:AB37)</f>
        <v>1268922.7585035788</v>
      </c>
      <c r="U6" s="754">
        <f>SUM('Sch TOU-DR TSM'!Z7:AB37)</f>
        <v>5035914.4852735261</v>
      </c>
      <c r="V6" s="754">
        <f>SUM('Sch DR-SES TSM'!Z7:AB37)</f>
        <v>4507045.8379052049</v>
      </c>
      <c r="W6" s="754">
        <f>SUM('Sch EV-TOU  TSM'!Z7:AB37)</f>
        <v>344849.95344160928</v>
      </c>
      <c r="X6" s="754">
        <f>SUM('Sch EV-TOU -2 TSM'!Z7:AB37)</f>
        <v>10893402.637367129</v>
      </c>
      <c r="Y6" s="752">
        <f>SUM(O6:X6)</f>
        <v>1315290691.8787265</v>
      </c>
    </row>
    <row r="7" spans="1:44" ht="13.5" thickBot="1">
      <c r="A7" s="10" t="s">
        <v>68</v>
      </c>
      <c r="B7" s="195">
        <f>SUM('Sch DR TSM'!Z7:AB37)/O8</f>
        <v>1289031006.4311929</v>
      </c>
      <c r="C7" s="195">
        <f>SUM('Sch DM TSM'!Z7:AB37)/P8</f>
        <v>3617442.0743266661</v>
      </c>
      <c r="D7" s="195">
        <f>SUM('Sch DS TSM'!Z7:AB37)/Q8</f>
        <v>676305.42086690769</v>
      </c>
      <c r="E7" s="195">
        <f>SUM('Sch DT TSM'!Z7:AB37)/R8</f>
        <v>3315054.5200573085</v>
      </c>
      <c r="F7" s="195">
        <f>SUM('Sch DT-RV TSM'!Z7:AB37)/S8</f>
        <v>204391.07398265126</v>
      </c>
      <c r="G7" s="195">
        <f>SUM('Sch DR-TOU TSM'!Z7:AB37)/T8</f>
        <v>1269942.6348585507</v>
      </c>
      <c r="H7" s="195">
        <f>SUM('Sch TOU-DR TSM'!Z7:AB37)/U8</f>
        <v>5051578.0695868358</v>
      </c>
      <c r="I7" s="195">
        <f>SUM('Sch DR-SES TSM'!Z7:AB37)/V8</f>
        <v>4569041.4681906505</v>
      </c>
      <c r="J7" s="195">
        <f>SUM('Sch EV-TOU  TSM'!Z7:AB37)/W8</f>
        <v>350069.58586428745</v>
      </c>
      <c r="K7" s="195">
        <f>SUM('Sch EV-TOU -2 TSM'!Z7:AB37)/'TSM Cap Cost Allocations'!X8</f>
        <v>10951984.181591345</v>
      </c>
      <c r="L7" s="100">
        <f>SUM(B7:K7)</f>
        <v>1319036815.4605181</v>
      </c>
      <c r="N7" s="751" t="s">
        <v>457</v>
      </c>
      <c r="O7" s="799">
        <v>1289032816.9939425</v>
      </c>
      <c r="P7" s="799">
        <v>3617442.0743266661</v>
      </c>
      <c r="Q7" s="799">
        <v>676305.42086690757</v>
      </c>
      <c r="R7" s="799">
        <v>3315054.5200573085</v>
      </c>
      <c r="S7" s="799">
        <v>204391.07398265126</v>
      </c>
      <c r="T7" s="799">
        <v>1269942.6348585507</v>
      </c>
      <c r="U7" s="799">
        <v>5051578.0695868358</v>
      </c>
      <c r="V7" s="799">
        <v>4569041.4681906505</v>
      </c>
      <c r="W7" s="799">
        <v>350069.58586428745</v>
      </c>
      <c r="X7" s="799">
        <v>10951984.181591345</v>
      </c>
      <c r="Y7" s="752">
        <f>SUM(O7:X7)</f>
        <v>1319038626.0232677</v>
      </c>
      <c r="AA7" s="18"/>
    </row>
    <row r="8" spans="1:44" ht="13.5" thickBot="1">
      <c r="A8" s="73" t="s">
        <v>69</v>
      </c>
      <c r="B8" s="71">
        <f t="shared" ref="B8:L8" si="0">B7/$H47</f>
        <v>0.61445930998435772</v>
      </c>
      <c r="C8" s="71">
        <f t="shared" si="0"/>
        <v>1.7243735409073701E-3</v>
      </c>
      <c r="D8" s="71">
        <f t="shared" si="0"/>
        <v>3.2238337182833546E-4</v>
      </c>
      <c r="E8" s="71">
        <f t="shared" si="0"/>
        <v>1.580230500889562E-3</v>
      </c>
      <c r="F8" s="71">
        <f t="shared" si="0"/>
        <v>9.7429772953289758E-5</v>
      </c>
      <c r="G8" s="71">
        <f t="shared" si="0"/>
        <v>6.0536020564417301E-4</v>
      </c>
      <c r="H8" s="71">
        <f t="shared" si="0"/>
        <v>2.4080019483504402E-3</v>
      </c>
      <c r="I8" s="71">
        <f t="shared" si="0"/>
        <v>2.1779849001515891E-3</v>
      </c>
      <c r="J8" s="71">
        <f t="shared" si="0"/>
        <v>1.6687225916482403E-4</v>
      </c>
      <c r="K8" s="71">
        <f t="shared" si="0"/>
        <v>5.2206258884428432E-3</v>
      </c>
      <c r="L8" s="70">
        <f t="shared" si="0"/>
        <v>0.62876257237269018</v>
      </c>
      <c r="N8" s="753" t="s">
        <v>458</v>
      </c>
      <c r="O8" s="755">
        <f>O6/O7</f>
        <v>0.99948256335483343</v>
      </c>
      <c r="P8" s="755">
        <f t="shared" ref="P8:Y8" si="1">P6/P7</f>
        <v>0.90543096582358729</v>
      </c>
      <c r="Q8" s="755">
        <f t="shared" si="1"/>
        <v>0.55744428055235273</v>
      </c>
      <c r="R8" s="755">
        <f t="shared" si="1"/>
        <v>0.33419644962568446</v>
      </c>
      <c r="S8" s="755">
        <f t="shared" si="1"/>
        <v>0.5602295420278196</v>
      </c>
      <c r="T8" s="755">
        <f t="shared" si="1"/>
        <v>0.99919691147696177</v>
      </c>
      <c r="U8" s="755">
        <f t="shared" si="1"/>
        <v>0.99689926908036663</v>
      </c>
      <c r="V8" s="755">
        <f t="shared" si="1"/>
        <v>0.98643137062400177</v>
      </c>
      <c r="W8" s="755">
        <f t="shared" si="1"/>
        <v>0.98508972891834801</v>
      </c>
      <c r="X8" s="755">
        <f t="shared" si="1"/>
        <v>0.99465105653433261</v>
      </c>
      <c r="Y8" s="756">
        <f t="shared" si="1"/>
        <v>0.99715858651096456</v>
      </c>
    </row>
    <row r="9" spans="1:44">
      <c r="B9" s="544"/>
      <c r="C9" s="544"/>
      <c r="D9" s="544"/>
      <c r="E9" s="544"/>
      <c r="F9" s="544"/>
      <c r="G9" s="544"/>
      <c r="H9" s="544"/>
      <c r="I9" s="544"/>
      <c r="J9" s="544"/>
      <c r="K9" s="544"/>
      <c r="L9" s="544"/>
    </row>
    <row r="10" spans="1:44" ht="13.5" thickBot="1">
      <c r="L10" s="35"/>
    </row>
    <row r="11" spans="1:44" ht="13.5" thickBot="1">
      <c r="A11" s="111"/>
      <c r="B11" s="853" t="s">
        <v>106</v>
      </c>
      <c r="C11" s="854"/>
      <c r="D11" s="854"/>
      <c r="E11" s="854"/>
      <c r="F11" s="854"/>
      <c r="G11" s="855"/>
      <c r="H11" s="183"/>
      <c r="I11" s="183"/>
    </row>
    <row r="12" spans="1:44">
      <c r="A12" s="89"/>
      <c r="B12" s="856" t="s">
        <v>425</v>
      </c>
      <c r="C12" s="858"/>
      <c r="D12" s="103"/>
      <c r="E12" s="103"/>
      <c r="F12" s="103"/>
      <c r="G12" s="103"/>
    </row>
    <row r="13" spans="1:44" ht="13.5" thickBot="1">
      <c r="A13" s="89"/>
      <c r="B13" s="483" t="s">
        <v>0</v>
      </c>
      <c r="C13" s="485" t="s">
        <v>1</v>
      </c>
      <c r="D13" s="59" t="s">
        <v>76</v>
      </c>
      <c r="E13" s="59" t="s">
        <v>77</v>
      </c>
      <c r="F13" s="59" t="s">
        <v>80</v>
      </c>
      <c r="G13" s="59" t="s">
        <v>2</v>
      </c>
    </row>
    <row r="14" spans="1:44">
      <c r="A14" s="10" t="s">
        <v>68</v>
      </c>
      <c r="B14" s="398">
        <f>SUM('Sch TOU-A TSM'!R7:T38)/(Inputs!$C$21)</f>
        <v>420482554.6095407</v>
      </c>
      <c r="C14" s="96">
        <f>SUM('Sch TOU-A TSM'!V7:X38)/(Inputs!$C$21)</f>
        <v>104818.82872983499</v>
      </c>
      <c r="D14" s="96">
        <f>SUM('Sch A-TC TSM'!R7:T38)/(Inputs!$C$21)</f>
        <v>6277220.089706488</v>
      </c>
      <c r="E14" s="75">
        <f>SUM('Sch A-TOU TSM'!R7:T38)/(Inputs!$C$21)</f>
        <v>1731874.9983933431</v>
      </c>
      <c r="F14" s="75">
        <f>SUM('Sch UM TSM'!R7:T38)/(Inputs!$C$21)</f>
        <v>298740.78420481511</v>
      </c>
      <c r="G14" s="96">
        <f>SUM(B14:F14)</f>
        <v>428895209.31057519</v>
      </c>
    </row>
    <row r="15" spans="1:44" ht="13.5" thickBot="1">
      <c r="A15" s="73" t="s">
        <v>69</v>
      </c>
      <c r="B15" s="72">
        <f t="shared" ref="B15:G15" si="2">B14/$H47</f>
        <v>0.20043693214266362</v>
      </c>
      <c r="C15" s="70">
        <f t="shared" si="2"/>
        <v>4.9965365342932854E-5</v>
      </c>
      <c r="D15" s="70">
        <f t="shared" si="2"/>
        <v>2.9922447991532347E-3</v>
      </c>
      <c r="E15" s="71">
        <f t="shared" si="2"/>
        <v>8.2555556164485352E-4</v>
      </c>
      <c r="F15" s="71">
        <f t="shared" si="2"/>
        <v>1.4240468631929304E-4</v>
      </c>
      <c r="G15" s="70">
        <f t="shared" si="2"/>
        <v>0.20444710255512394</v>
      </c>
    </row>
    <row r="17" spans="1:16" ht="13.5" thickBot="1"/>
    <row r="18" spans="1:16" ht="13.5" thickBot="1">
      <c r="A18" s="103"/>
      <c r="B18" s="854" t="s">
        <v>108</v>
      </c>
      <c r="C18" s="854"/>
      <c r="D18" s="854"/>
      <c r="E18" s="854"/>
      <c r="F18" s="855"/>
      <c r="G18" s="183"/>
      <c r="H18" s="183"/>
      <c r="I18" s="183"/>
      <c r="J18" s="183"/>
      <c r="K18" s="183"/>
      <c r="L18" s="117"/>
    </row>
    <row r="19" spans="1:16">
      <c r="A19" s="90"/>
      <c r="B19" s="857" t="s">
        <v>81</v>
      </c>
      <c r="C19" s="857"/>
      <c r="D19" s="858"/>
      <c r="E19" s="856" t="s">
        <v>107</v>
      </c>
      <c r="F19" s="858"/>
    </row>
    <row r="20" spans="1:16" ht="13.5" thickBot="1">
      <c r="A20" s="90"/>
      <c r="B20" s="385" t="s">
        <v>0</v>
      </c>
      <c r="C20" s="385" t="s">
        <v>1</v>
      </c>
      <c r="D20" s="386" t="s">
        <v>101</v>
      </c>
      <c r="E20" s="385" t="s">
        <v>0</v>
      </c>
      <c r="F20" s="386" t="s">
        <v>1</v>
      </c>
    </row>
    <row r="21" spans="1:16">
      <c r="A21" s="112" t="s">
        <v>68</v>
      </c>
      <c r="B21" s="95">
        <f>SUM('Sch AL-TOU TSM'!R7:T37)/(Inputs!$C$21)</f>
        <v>296473776.26611054</v>
      </c>
      <c r="C21" s="159">
        <f>SUM('Sch AL-TOU TSM'!V7:X37)/(Inputs!$C$21)</f>
        <v>2046552.5163142351</v>
      </c>
      <c r="D21" s="359">
        <f>SUM('Sch AL-TOU TSM'!Z7:AB37)/(Inputs!$C$21)</f>
        <v>1981678.5520224511</v>
      </c>
      <c r="E21" s="95">
        <f>SUM('Sch DG-R TSM'!R7:T37)/(Inputs!$C$21)</f>
        <v>4764053.1873339312</v>
      </c>
      <c r="F21" s="184">
        <f>SUM('Sch DG-R TSM'!V7:X37)/(Inputs!$C$21)</f>
        <v>25337.689265164991</v>
      </c>
    </row>
    <row r="22" spans="1:16" ht="13.5" thickBot="1">
      <c r="A22" s="110" t="s">
        <v>69</v>
      </c>
      <c r="B22" s="69">
        <f>B21/$H47</f>
        <v>0.14132404192300183</v>
      </c>
      <c r="C22" s="69">
        <f>C21/$H47</f>
        <v>9.7555701976694161E-4</v>
      </c>
      <c r="D22" s="70">
        <f>D21/$H47</f>
        <v>9.4463269666237768E-4</v>
      </c>
      <c r="E22" s="69">
        <f>E21/$H47</f>
        <v>2.2709436930633247E-3</v>
      </c>
      <c r="F22" s="788">
        <f>F21/$H47</f>
        <v>1.2078048537851369E-5</v>
      </c>
    </row>
    <row r="23" spans="1:16">
      <c r="A23" s="31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</row>
    <row r="24" spans="1:16" ht="13.5" thickBot="1">
      <c r="A24" s="31"/>
      <c r="B24" s="29"/>
      <c r="C24" s="29"/>
      <c r="D24" s="29"/>
      <c r="E24" s="29"/>
      <c r="F24" s="29"/>
      <c r="G24" s="74"/>
      <c r="H24" s="18"/>
      <c r="N24" s="29"/>
      <c r="O24" s="29"/>
    </row>
    <row r="25" spans="1:16" ht="13.5" thickBot="1">
      <c r="A25" s="204"/>
      <c r="B25" s="853" t="s">
        <v>108</v>
      </c>
      <c r="C25" s="854"/>
      <c r="D25" s="854"/>
      <c r="E25" s="855"/>
      <c r="F25" s="183"/>
      <c r="G25" s="183"/>
      <c r="N25" s="29"/>
      <c r="O25" s="29"/>
      <c r="P25" s="29"/>
    </row>
    <row r="26" spans="1:16">
      <c r="A26" s="90"/>
      <c r="B26" s="856" t="s">
        <v>55</v>
      </c>
      <c r="C26" s="858"/>
      <c r="D26" s="185"/>
      <c r="E26" s="185"/>
      <c r="N26" s="29"/>
      <c r="O26" s="29"/>
      <c r="P26" s="29"/>
    </row>
    <row r="27" spans="1:16" ht="13.5" thickBot="1">
      <c r="A27" s="90"/>
      <c r="B27" s="351" t="s">
        <v>1</v>
      </c>
      <c r="C27" s="352" t="s">
        <v>99</v>
      </c>
      <c r="D27" s="61" t="s">
        <v>159</v>
      </c>
      <c r="E27" s="61" t="s">
        <v>2</v>
      </c>
      <c r="N27" s="29"/>
      <c r="O27" s="29"/>
    </row>
    <row r="28" spans="1:16">
      <c r="A28" s="112" t="s">
        <v>68</v>
      </c>
      <c r="B28" s="151">
        <f>SUM('Sch A6-TOU TSM'!B6:D36)/(Inputs!$C$21)</f>
        <v>88845.318766129072</v>
      </c>
      <c r="C28" s="359">
        <f>SUM('Sch A6-TOU TSM'!F6:H36)/(Inputs!$C$21)</f>
        <v>950804.50375625188</v>
      </c>
      <c r="D28" s="100">
        <f>SUM('Sch OL-TOU TSM'!R7:T37)/(Inputs!$C$21)</f>
        <v>526827.7560276771</v>
      </c>
      <c r="E28" s="100">
        <f>SUM(B21:K21,B28:D28)</f>
        <v>306857875.78959638</v>
      </c>
      <c r="N28" s="29"/>
      <c r="O28" s="29"/>
    </row>
    <row r="29" spans="1:16" ht="13.5" thickBot="1">
      <c r="A29" s="110" t="s">
        <v>69</v>
      </c>
      <c r="B29" s="789">
        <f>B28/$H47</f>
        <v>4.2351062924016666E-5</v>
      </c>
      <c r="C29" s="70">
        <f>C28/$H47</f>
        <v>4.5323244855496951E-4</v>
      </c>
      <c r="D29" s="70">
        <f>D28/H47</f>
        <v>2.5112989356680269E-4</v>
      </c>
      <c r="E29" s="70">
        <f>E28/H47</f>
        <v>0.14627396678607812</v>
      </c>
      <c r="K29" s="29"/>
      <c r="L29" s="29"/>
      <c r="M29" s="29"/>
      <c r="N29" s="29"/>
      <c r="O29" s="29"/>
    </row>
    <row r="31" spans="1:16" ht="13.5" thickBot="1"/>
    <row r="32" spans="1:16" ht="13.5" thickBot="1">
      <c r="A32" s="103"/>
      <c r="B32" s="853" t="s">
        <v>67</v>
      </c>
      <c r="C32" s="854"/>
      <c r="D32" s="854"/>
      <c r="E32" s="854"/>
      <c r="F32" s="855"/>
      <c r="G32" s="103" t="s">
        <v>62</v>
      </c>
      <c r="H32" s="105"/>
    </row>
    <row r="33" spans="1:9" ht="13.5" thickBot="1">
      <c r="A33" s="90"/>
      <c r="B33" s="850" t="s">
        <v>82</v>
      </c>
      <c r="C33" s="852"/>
      <c r="D33" s="850" t="s">
        <v>405</v>
      </c>
      <c r="E33" s="852"/>
      <c r="F33" s="662"/>
      <c r="G33" s="389"/>
      <c r="H33" s="785" t="s">
        <v>489</v>
      </c>
    </row>
    <row r="34" spans="1:9" ht="13.5" thickBot="1">
      <c r="A34" s="90"/>
      <c r="B34" s="387" t="s">
        <v>0</v>
      </c>
      <c r="C34" s="388" t="s">
        <v>1</v>
      </c>
      <c r="D34" s="652" t="s">
        <v>0</v>
      </c>
      <c r="E34" s="653" t="s">
        <v>1</v>
      </c>
      <c r="F34" s="59" t="s">
        <v>2</v>
      </c>
      <c r="G34" s="61" t="s">
        <v>2</v>
      </c>
      <c r="H34" s="61" t="s">
        <v>2</v>
      </c>
    </row>
    <row r="35" spans="1:9">
      <c r="A35" s="112" t="s">
        <v>68</v>
      </c>
      <c r="B35" s="398">
        <f>SUM('Sch PA-T-1 TSM'!R7:T37)/(Inputs!$C$21)</f>
        <v>7157802.9721770184</v>
      </c>
      <c r="C35" s="159">
        <f>SUM('Sch PA-T-1 TSM'!V7:X37)/(Inputs!$C$21)</f>
        <v>129259.30159039304</v>
      </c>
      <c r="D35" s="398">
        <f>SUM('Sch TOU-PA TSM'!R7:T37)/(Inputs!$C$21)</f>
        <v>14801233.136567492</v>
      </c>
      <c r="E35" s="159">
        <f>SUM('Sch TOU-PA TSM'!V7:X37)/(Inputs!$C$21)</f>
        <v>31079.520934340017</v>
      </c>
      <c r="F35" s="180">
        <f>SUM(B35:E35)</f>
        <v>22119374.931269243</v>
      </c>
      <c r="G35" s="100"/>
      <c r="H35" s="26">
        <f>L7+G14+E28+F35+G35</f>
        <v>2076909275.4919589</v>
      </c>
    </row>
    <row r="36" spans="1:9" ht="13.5" thickBot="1">
      <c r="A36" s="110" t="s">
        <v>69</v>
      </c>
      <c r="B36" s="72">
        <f>B35/$H47</f>
        <v>3.4120037868326063E-3</v>
      </c>
      <c r="C36" s="69">
        <f>C35/$H47</f>
        <v>6.161572597403032E-5</v>
      </c>
      <c r="D36" s="72">
        <f>D35/$H47</f>
        <v>7.0554978543088606E-3</v>
      </c>
      <c r="E36" s="790">
        <f>E35/$H47</f>
        <v>1.4815082719252146E-5</v>
      </c>
      <c r="F36" s="71">
        <f>F35/$H47</f>
        <v>1.054393244983475E-2</v>
      </c>
      <c r="G36" s="70"/>
      <c r="H36" s="70">
        <f>L8+G15+E29+F36+G36</f>
        <v>0.99002757416372711</v>
      </c>
    </row>
    <row r="37" spans="1:9" ht="13.5" thickBot="1">
      <c r="B37" s="18"/>
      <c r="C37" s="18"/>
      <c r="D37" s="18"/>
      <c r="E37" s="18"/>
      <c r="F37" s="18"/>
    </row>
    <row r="38" spans="1:9">
      <c r="H38" s="104"/>
    </row>
    <row r="39" spans="1:9">
      <c r="B39" s="468"/>
      <c r="C39" s="468"/>
      <c r="D39" s="468"/>
      <c r="E39" s="468"/>
      <c r="H39" s="90" t="s">
        <v>484</v>
      </c>
    </row>
    <row r="40" spans="1:9" ht="13.5" thickBot="1">
      <c r="H40" s="59" t="s">
        <v>2</v>
      </c>
    </row>
    <row r="41" spans="1:9">
      <c r="B41" s="18"/>
      <c r="C41" s="18"/>
      <c r="D41" s="18"/>
      <c r="E41" s="18"/>
      <c r="H41" s="808">
        <v>20920451.368242353</v>
      </c>
      <c r="I41" s="18"/>
    </row>
    <row r="42" spans="1:9" ht="13.5" thickBot="1">
      <c r="B42" s="18"/>
      <c r="C42" s="18"/>
      <c r="D42" s="18"/>
      <c r="E42" s="18"/>
      <c r="H42" s="809">
        <v>9.9724258362730734E-3</v>
      </c>
    </row>
    <row r="43" spans="1:9" ht="13.5" thickBot="1"/>
    <row r="44" spans="1:9">
      <c r="H44" s="104"/>
    </row>
    <row r="45" spans="1:9">
      <c r="H45" s="90" t="s">
        <v>490</v>
      </c>
    </row>
    <row r="46" spans="1:9" ht="13.5" thickBot="1">
      <c r="H46" s="59" t="s">
        <v>2</v>
      </c>
    </row>
    <row r="47" spans="1:9">
      <c r="H47" s="180">
        <f>H35+H41</f>
        <v>2097829726.8602011</v>
      </c>
      <c r="I47" s="18"/>
    </row>
    <row r="48" spans="1:9" ht="13.5" thickBot="1">
      <c r="H48" s="71">
        <f>H36+H42</f>
        <v>1.0000000000000002</v>
      </c>
    </row>
  </sheetData>
  <mergeCells count="13">
    <mergeCell ref="A1:L1"/>
    <mergeCell ref="A2:L2"/>
    <mergeCell ref="D33:E33"/>
    <mergeCell ref="B33:C33"/>
    <mergeCell ref="B26:C26"/>
    <mergeCell ref="B4:L4"/>
    <mergeCell ref="B12:C12"/>
    <mergeCell ref="B32:F32"/>
    <mergeCell ref="B18:F18"/>
    <mergeCell ref="B19:D19"/>
    <mergeCell ref="E19:F19"/>
    <mergeCell ref="B25:E25"/>
    <mergeCell ref="B11:G11"/>
  </mergeCells>
  <phoneticPr fontId="4" type="noConversion"/>
  <printOptions horizontalCentered="1"/>
  <pageMargins left="0.75" right="0.75" top="1" bottom="1" header="0.5" footer="0.5"/>
  <pageSetup scale="55" orientation="portrait" r:id="rId1"/>
  <headerFooter alignWithMargins="0">
    <oddFooter>&amp;L&amp;F
&amp;A&amp;R&amp;P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4">
    <tabColor rgb="FFC00000"/>
    <pageSetUpPr fitToPage="1"/>
  </sheetPr>
  <dimension ref="A1:U67"/>
  <sheetViews>
    <sheetView zoomScaleNormal="100" workbookViewId="0">
      <pane xSplit="1" topLeftCell="B1" activePane="topRight" state="frozen"/>
      <selection activeCell="D15" sqref="D15"/>
      <selection pane="topRight" activeCell="B41" sqref="B41"/>
    </sheetView>
  </sheetViews>
  <sheetFormatPr defaultRowHeight="12.75"/>
  <cols>
    <col min="1" max="1" width="27" customWidth="1"/>
    <col min="2" max="17" width="12.7109375" customWidth="1"/>
    <col min="18" max="18" width="12.85546875" bestFit="1" customWidth="1"/>
  </cols>
  <sheetData>
    <row r="1" spans="1:21" ht="18.75" thickBot="1">
      <c r="A1" s="832" t="s">
        <v>145</v>
      </c>
      <c r="B1" s="833"/>
      <c r="C1" s="833"/>
      <c r="D1" s="833"/>
      <c r="E1" s="833"/>
      <c r="F1" s="833"/>
      <c r="G1" s="833"/>
      <c r="H1" s="833"/>
      <c r="I1" s="833"/>
      <c r="J1" s="833"/>
      <c r="K1" s="833"/>
      <c r="L1" s="833"/>
      <c r="M1" s="833"/>
      <c r="N1" s="833"/>
      <c r="O1" s="833"/>
      <c r="P1" s="833"/>
      <c r="Q1" s="833"/>
      <c r="R1" s="12"/>
    </row>
    <row r="2" spans="1:21" ht="13.5" thickBot="1">
      <c r="A2" s="131"/>
      <c r="B2" s="834" t="s">
        <v>0</v>
      </c>
      <c r="C2" s="835"/>
      <c r="D2" s="835"/>
      <c r="E2" s="835"/>
      <c r="F2" s="835"/>
      <c r="G2" s="835"/>
      <c r="H2" s="835"/>
      <c r="I2" s="835"/>
      <c r="J2" s="835"/>
      <c r="K2" s="835"/>
      <c r="L2" s="835"/>
      <c r="M2" s="835"/>
      <c r="N2" s="835"/>
      <c r="O2" s="835"/>
      <c r="P2" s="835"/>
      <c r="Q2" s="835"/>
      <c r="R2" s="836"/>
      <c r="S2" s="830"/>
      <c r="T2" s="830"/>
      <c r="U2" s="831"/>
    </row>
    <row r="3" spans="1:21" ht="13.5" thickBot="1">
      <c r="A3" s="196"/>
      <c r="B3" s="834" t="s">
        <v>127</v>
      </c>
      <c r="C3" s="835"/>
      <c r="D3" s="835"/>
      <c r="E3" s="837"/>
      <c r="F3" s="834" t="s">
        <v>114</v>
      </c>
      <c r="G3" s="835"/>
      <c r="H3" s="835"/>
      <c r="I3" s="837"/>
      <c r="J3" s="834" t="s">
        <v>33</v>
      </c>
      <c r="K3" s="835"/>
      <c r="L3" s="835"/>
      <c r="M3" s="837"/>
      <c r="N3" s="827" t="s">
        <v>34</v>
      </c>
      <c r="O3" s="828"/>
      <c r="P3" s="828"/>
      <c r="Q3" s="828"/>
      <c r="R3" s="838" t="s">
        <v>1</v>
      </c>
      <c r="S3" s="839"/>
      <c r="T3" s="839"/>
      <c r="U3" s="840"/>
    </row>
    <row r="4" spans="1:21" ht="13.5" thickBot="1">
      <c r="A4" s="102" t="s">
        <v>4</v>
      </c>
      <c r="B4" s="314" t="s">
        <v>36</v>
      </c>
      <c r="C4" s="315" t="s">
        <v>37</v>
      </c>
      <c r="D4" s="315" t="s">
        <v>38</v>
      </c>
      <c r="E4" s="316" t="s">
        <v>2</v>
      </c>
      <c r="F4" s="314" t="s">
        <v>36</v>
      </c>
      <c r="G4" s="315" t="s">
        <v>37</v>
      </c>
      <c r="H4" s="315" t="s">
        <v>38</v>
      </c>
      <c r="I4" s="316" t="s">
        <v>2</v>
      </c>
      <c r="J4" s="314" t="s">
        <v>36</v>
      </c>
      <c r="K4" s="315" t="s">
        <v>37</v>
      </c>
      <c r="L4" s="315" t="s">
        <v>38</v>
      </c>
      <c r="M4" s="316" t="s">
        <v>2</v>
      </c>
      <c r="N4" s="314" t="s">
        <v>36</v>
      </c>
      <c r="O4" s="315" t="s">
        <v>37</v>
      </c>
      <c r="P4" s="315" t="s">
        <v>38</v>
      </c>
      <c r="Q4" s="316" t="s">
        <v>2</v>
      </c>
      <c r="R4" s="314" t="s">
        <v>36</v>
      </c>
      <c r="S4" s="315" t="s">
        <v>37</v>
      </c>
      <c r="T4" s="315" t="s">
        <v>38</v>
      </c>
      <c r="U4" s="316" t="s">
        <v>2</v>
      </c>
    </row>
    <row r="5" spans="1:21">
      <c r="A5" s="133"/>
      <c r="B5" s="5" t="s">
        <v>44</v>
      </c>
      <c r="C5" s="6" t="s">
        <v>44</v>
      </c>
      <c r="D5" s="6" t="s">
        <v>44</v>
      </c>
      <c r="E5" s="7" t="s">
        <v>44</v>
      </c>
      <c r="F5" s="5" t="s">
        <v>44</v>
      </c>
      <c r="G5" s="6" t="s">
        <v>44</v>
      </c>
      <c r="H5" s="6" t="s">
        <v>44</v>
      </c>
      <c r="I5" s="7" t="s">
        <v>44</v>
      </c>
      <c r="J5" s="5" t="s">
        <v>44</v>
      </c>
      <c r="K5" s="6" t="s">
        <v>44</v>
      </c>
      <c r="L5" s="6" t="s">
        <v>44</v>
      </c>
      <c r="M5" s="9" t="s">
        <v>44</v>
      </c>
      <c r="N5" s="132" t="s">
        <v>44</v>
      </c>
      <c r="O5" s="6" t="s">
        <v>44</v>
      </c>
      <c r="P5" s="6" t="s">
        <v>44</v>
      </c>
      <c r="Q5" s="7" t="s">
        <v>44</v>
      </c>
      <c r="R5" s="132" t="s">
        <v>44</v>
      </c>
      <c r="S5" s="6" t="s">
        <v>44</v>
      </c>
      <c r="T5" s="6" t="s">
        <v>44</v>
      </c>
      <c r="U5" s="7" t="s">
        <v>44</v>
      </c>
    </row>
    <row r="6" spans="1:21">
      <c r="A6" s="112"/>
      <c r="B6" s="132"/>
      <c r="C6" s="8"/>
      <c r="D6" s="8"/>
      <c r="E6" s="9"/>
      <c r="F6" s="132"/>
      <c r="G6" s="8"/>
      <c r="H6" s="8"/>
      <c r="I6" s="9"/>
      <c r="J6" s="132"/>
      <c r="K6" s="8"/>
      <c r="L6" s="8"/>
      <c r="M6" s="9"/>
      <c r="N6" s="132"/>
      <c r="O6" s="8"/>
      <c r="P6" s="8"/>
      <c r="Q6" s="9"/>
      <c r="R6" s="132"/>
      <c r="S6" s="8"/>
      <c r="T6" s="8"/>
      <c r="U6" s="9"/>
    </row>
    <row r="7" spans="1:21">
      <c r="A7" s="153" t="s">
        <v>5</v>
      </c>
      <c r="B7" s="739">
        <f>IF('Resid TSM UC'!E7&gt;Inputs!$C$20,'Resid TSM UC'!B7-'Resid TSM UC'!E7+Inputs!$C$20,'Resid TSM UC'!B7)</f>
        <v>245.39104820707465</v>
      </c>
      <c r="C7" s="557">
        <f>'Resid TSM UC'!C7</f>
        <v>138.7130210066349</v>
      </c>
      <c r="D7" s="557">
        <f>'Resid TSM UC'!D7</f>
        <v>246.24333484162895</v>
      </c>
      <c r="E7" s="45">
        <f>SUM(B7:D7)</f>
        <v>630.34740405533853</v>
      </c>
      <c r="F7" s="739">
        <f>IF(IF('Resid TSM UC'!I7&gt;Inputs!$C$20,'Resid TSM UC'!F7-'Resid TSM UC'!I7+Inputs!$C$20,'Resid TSM UC'!F7)&lt;0,0,IF('Resid TSM UC'!I7&gt;Inputs!$C$20,'Resid TSM UC'!F7-'Resid TSM UC'!I7+Inputs!$C$20,'Resid TSM UC'!F7))</f>
        <v>290.98144300778256</v>
      </c>
      <c r="G7" s="557">
        <f>IF(F7=0,'Resid TSM UC'!G7+('Resid TSM UC'!F7-'Resid TSM UC'!I7+Inputs!$C$20),'Resid TSM UC'!G7)</f>
        <v>754.14273000301057</v>
      </c>
      <c r="H7" s="557">
        <f>'Resid TSM UC'!H7</f>
        <v>373.18</v>
      </c>
      <c r="I7" s="45">
        <f>SUM(F7:H7)</f>
        <v>1418.3041730107932</v>
      </c>
      <c r="J7" s="739">
        <f>IF(IF('Resid TSM UC'!M7&gt;Inputs!$C$20,'Resid TSM UC'!J7-'Resid TSM UC'!M7+Inputs!$C$20,'Resid TSM UC'!J7)&lt;0,0,IF('Resid TSM UC'!M7&gt;Inputs!$C$20,'Resid TSM UC'!J7-'Resid TSM UC'!M7+Inputs!$C$20,'Resid TSM UC'!J7))</f>
        <v>305.95670573403169</v>
      </c>
      <c r="K7" s="557">
        <f>IF(J7=0,'Resid TSM UC'!K7+('Resid TSM UC'!J7-'Resid TSM UC'!M7+Inputs!$C$20),'Resid TSM UC'!K7)</f>
        <v>754.14273000301057</v>
      </c>
      <c r="L7" s="557">
        <f>'Resid TSM UC'!L7</f>
        <v>373.18</v>
      </c>
      <c r="M7" s="45">
        <f>SUM(J7:L7)</f>
        <v>1433.2794357370424</v>
      </c>
      <c r="N7" s="739">
        <f>IF(IF('Resid TSM UC'!Q7&gt;Inputs!$C$20,'Resid TSM UC'!N7-'Resid TSM UC'!Q7+Inputs!$C$20,'Resid TSM UC'!N7)&lt;0,0,IF('Resid TSM UC'!Q7&gt;Inputs!$C$20,'Resid TSM UC'!N7-'Resid TSM UC'!Q7+Inputs!$C$20,'Resid TSM UC'!N7))</f>
        <v>360.9076494190582</v>
      </c>
      <c r="O7" s="557">
        <f>IF(N7=0,'Resid TSM UC'!O7+('Resid TSM UC'!N7-'Resid TSM UC'!Q7+Inputs!$C$20),'Resid TSM UC'!O7)</f>
        <v>754.14273000301057</v>
      </c>
      <c r="P7" s="557">
        <f>'Resid TSM UC'!P7</f>
        <v>373.18</v>
      </c>
      <c r="Q7" s="45">
        <f>SUM(N7:P7)</f>
        <v>1488.2303794220688</v>
      </c>
      <c r="R7" s="141"/>
      <c r="S7" s="557">
        <f>IF(R7=0,'Resid TSM UC'!S7+('Resid TSM UC'!R7-'Resid TSM UC'!U7+Inputs!$C$20),'Resid TSM UC'!S7)</f>
        <v>2227.96</v>
      </c>
      <c r="T7" s="557">
        <f>'Resid TSM UC'!T7</f>
        <v>1013.04</v>
      </c>
      <c r="U7" s="45">
        <f>SUM(R7:T7)</f>
        <v>3241</v>
      </c>
    </row>
    <row r="8" spans="1:21">
      <c r="A8" s="153" t="s">
        <v>6</v>
      </c>
      <c r="B8" s="739">
        <f>IF('Resid TSM UC'!E8&gt;Inputs!$C$20,'Resid TSM UC'!B8-'Resid TSM UC'!E8+Inputs!$C$20,'Resid TSM UC'!B8)</f>
        <v>771.22900865080612</v>
      </c>
      <c r="C8" s="557">
        <f>'Resid TSM UC'!C8</f>
        <v>138.7130210066349</v>
      </c>
      <c r="D8" s="557">
        <f>'Resid TSM UC'!D8</f>
        <v>246.24333484162895</v>
      </c>
      <c r="E8" s="45">
        <f t="shared" ref="E8:E16" si="0">SUM(B8:D8)</f>
        <v>1156.1853644990699</v>
      </c>
      <c r="F8" s="739">
        <f>IF(IF('Resid TSM UC'!I8&gt;Inputs!$C$20,'Resid TSM UC'!F8-'Resid TSM UC'!I8+Inputs!$C$20,'Resid TSM UC'!F8)&lt;0,0,IF('Resid TSM UC'!I8&gt;Inputs!$C$20,'Resid TSM UC'!F8-'Resid TSM UC'!I8+Inputs!$C$20,'Resid TSM UC'!F8))</f>
        <v>872.94432902334779</v>
      </c>
      <c r="G8" s="557">
        <f>IF(F8=0,'Resid TSM UC'!G8+('Resid TSM UC'!F8-'Resid TSM UC'!I8+Inputs!$C$20),'Resid TSM UC'!G8)</f>
        <v>754.14273000301057</v>
      </c>
      <c r="H8" s="557">
        <f>'Resid TSM UC'!H8</f>
        <v>373.18</v>
      </c>
      <c r="I8" s="45">
        <f t="shared" ref="I8:I17" si="1">SUM(F8:H8)</f>
        <v>2000.2670590263585</v>
      </c>
      <c r="J8" s="739">
        <f>IF(IF('Resid TSM UC'!M8&gt;Inputs!$C$20,'Resid TSM UC'!J8-'Resid TSM UC'!M8+Inputs!$C$20,'Resid TSM UC'!J8)&lt;0,0,IF('Resid TSM UC'!M8&gt;Inputs!$C$20,'Resid TSM UC'!J8-'Resid TSM UC'!M8+Inputs!$C$20,'Resid TSM UC'!J8))</f>
        <v>917.870117202095</v>
      </c>
      <c r="K8" s="557">
        <f>IF(J8=0,'Resid TSM UC'!K8+('Resid TSM UC'!J8-'Resid TSM UC'!M8+Inputs!$C$20),'Resid TSM UC'!K8)</f>
        <v>754.14273000301057</v>
      </c>
      <c r="L8" s="557">
        <f>'Resid TSM UC'!L8</f>
        <v>373.18</v>
      </c>
      <c r="M8" s="45">
        <f t="shared" ref="M8:M23" si="2">SUM(J8:L8)</f>
        <v>2045.1928472051056</v>
      </c>
      <c r="N8" s="739">
        <f>IF(IF('Resid TSM UC'!Q8&gt;Inputs!$C$20,'Resid TSM UC'!N8-'Resid TSM UC'!Q8+Inputs!$C$20,'Resid TSM UC'!N8)&lt;0,0,IF('Resid TSM UC'!Q8&gt;Inputs!$C$20,'Resid TSM UC'!N8-'Resid TSM UC'!Q8+Inputs!$C$20,'Resid TSM UC'!N8))</f>
        <v>1082.7229482571745</v>
      </c>
      <c r="O8" s="557">
        <f>IF(N8=0,'Resid TSM UC'!O8+('Resid TSM UC'!N8-'Resid TSM UC'!Q8+Inputs!$C$20),'Resid TSM UC'!O8)</f>
        <v>754.14273000301057</v>
      </c>
      <c r="P8" s="557">
        <f>'Resid TSM UC'!P8</f>
        <v>373.18</v>
      </c>
      <c r="Q8" s="45">
        <f t="shared" ref="Q8:Q30" si="3">SUM(N8:P8)</f>
        <v>2210.045678260185</v>
      </c>
      <c r="R8" s="141"/>
      <c r="S8" s="557">
        <f>IF(R8=0,'Resid TSM UC'!S8+('Resid TSM UC'!R8-'Resid TSM UC'!U8+Inputs!$C$20),'Resid TSM UC'!S8)</f>
        <v>2227.96</v>
      </c>
      <c r="T8" s="557">
        <f>'Resid TSM UC'!T8</f>
        <v>1013.04</v>
      </c>
      <c r="U8" s="45">
        <f t="shared" ref="U8:U19" si="4">SUM(R8:T8)</f>
        <v>3241</v>
      </c>
    </row>
    <row r="9" spans="1:21">
      <c r="A9" s="153" t="s">
        <v>7</v>
      </c>
      <c r="B9" s="739">
        <f>IF('Resid TSM UC'!E9&gt;Inputs!$C$20,'Resid TSM UC'!B9-'Resid TSM UC'!E9+Inputs!$C$20,'Resid TSM UC'!B9)</f>
        <v>674.82538256945531</v>
      </c>
      <c r="C9" s="557">
        <f>'Resid TSM UC'!C9</f>
        <v>195.52229201326981</v>
      </c>
      <c r="D9" s="557">
        <f>'Resid TSM UC'!D9</f>
        <v>246.24333484162895</v>
      </c>
      <c r="E9" s="45">
        <f t="shared" si="0"/>
        <v>1116.5910094243541</v>
      </c>
      <c r="F9" s="739">
        <f>IF(IF('Resid TSM UC'!I9&gt;Inputs!$C$20,'Resid TSM UC'!F9-'Resid TSM UC'!I9+Inputs!$C$20,'Resid TSM UC'!F9)&lt;0,0,IF('Resid TSM UC'!I9&gt;Inputs!$C$20,'Resid TSM UC'!F9-'Resid TSM UC'!I9+Inputs!$C$20,'Resid TSM UC'!F9))</f>
        <v>1745.8886580466956</v>
      </c>
      <c r="G9" s="557">
        <f>IF(F9=0,'Resid TSM UC'!G9+('Resid TSM UC'!F9-'Resid TSM UC'!I9+Inputs!$C$20),'Resid TSM UC'!G9)</f>
        <v>888.28562532861781</v>
      </c>
      <c r="H9" s="557">
        <f>'Resid TSM UC'!H9</f>
        <v>373.18</v>
      </c>
      <c r="I9" s="45">
        <f t="shared" si="1"/>
        <v>3007.3542833753131</v>
      </c>
      <c r="J9" s="739">
        <f>IF(IF('Resid TSM UC'!M9&gt;Inputs!$C$20,'Resid TSM UC'!J9-'Resid TSM UC'!M9+Inputs!$C$20,'Resid TSM UC'!J9)&lt;0,0,IF('Resid TSM UC'!M9&gt;Inputs!$C$20,'Resid TSM UC'!J9-'Resid TSM UC'!M9+Inputs!$C$20,'Resid TSM UC'!J9))</f>
        <v>1835.74023440419</v>
      </c>
      <c r="K9" s="557">
        <f>IF(J9=0,'Resid TSM UC'!K9+('Resid TSM UC'!J9-'Resid TSM UC'!M9+Inputs!$C$20),'Resid TSM UC'!K9)</f>
        <v>888.28562532861781</v>
      </c>
      <c r="L9" s="557">
        <f>'Resid TSM UC'!L9</f>
        <v>373.18</v>
      </c>
      <c r="M9" s="45">
        <f t="shared" si="2"/>
        <v>3097.2058597328078</v>
      </c>
      <c r="N9" s="739">
        <f>IF(IF('Resid TSM UC'!Q9&gt;Inputs!$C$20,'Resid TSM UC'!N9-'Resid TSM UC'!Q9+Inputs!$C$20,'Resid TSM UC'!N9)&lt;0,0,IF('Resid TSM UC'!Q9&gt;Inputs!$C$20,'Resid TSM UC'!N9-'Resid TSM UC'!Q9+Inputs!$C$20,'Resid TSM UC'!N9))</f>
        <v>1979.5343746713825</v>
      </c>
      <c r="O9" s="557">
        <f>IF(N9=0,'Resid TSM UC'!O9+('Resid TSM UC'!N9-'Resid TSM UC'!Q9+Inputs!$C$20),'Resid TSM UC'!O9)</f>
        <v>888.28562532861781</v>
      </c>
      <c r="P9" s="557">
        <f>'Resid TSM UC'!P9</f>
        <v>373.18</v>
      </c>
      <c r="Q9" s="45">
        <f t="shared" si="3"/>
        <v>3241</v>
      </c>
      <c r="R9" s="141"/>
      <c r="S9" s="557">
        <f>IF(R9=0,'Resid TSM UC'!S9+('Resid TSM UC'!R9-'Resid TSM UC'!U9+Inputs!$C$20),'Resid TSM UC'!S9)</f>
        <v>2227.96</v>
      </c>
      <c r="T9" s="557">
        <f>'Resid TSM UC'!T9</f>
        <v>1013.04</v>
      </c>
      <c r="U9" s="45">
        <f t="shared" si="4"/>
        <v>3241</v>
      </c>
    </row>
    <row r="10" spans="1:21">
      <c r="A10" s="153" t="s">
        <v>124</v>
      </c>
      <c r="B10" s="739">
        <f>IF('Resid TSM UC'!E10&gt;Inputs!$C$20,'Resid TSM UC'!B10-'Resid TSM UC'!E10+Inputs!$C$20,'Resid TSM UC'!B10)</f>
        <v>1349.6507651389106</v>
      </c>
      <c r="C10" s="557">
        <f>'Resid TSM UC'!C10</f>
        <v>213.73179817905475</v>
      </c>
      <c r="D10" s="557">
        <f>'Resid TSM UC'!D10</f>
        <v>246.24333484162895</v>
      </c>
      <c r="E10" s="45">
        <f t="shared" si="0"/>
        <v>1809.6258981595943</v>
      </c>
      <c r="F10" s="739">
        <f>IF(IF('Resid TSM UC'!I10&gt;Inputs!$C$20,'Resid TSM UC'!F10-'Resid TSM UC'!I10+Inputs!$C$20,'Resid TSM UC'!F10)&lt;0,0,IF('Resid TSM UC'!I10&gt;Inputs!$C$20,'Resid TSM UC'!F10-'Resid TSM UC'!I10+Inputs!$C$20,'Resid TSM UC'!F10))</f>
        <v>1979.5343746713816</v>
      </c>
      <c r="G10" s="557">
        <f>IF(F10=0,'Resid TSM UC'!G10+('Resid TSM UC'!F10-'Resid TSM UC'!I10+Inputs!$C$20),'Resid TSM UC'!G10)</f>
        <v>888.28562532861781</v>
      </c>
      <c r="H10" s="557">
        <f>'Resid TSM UC'!H10</f>
        <v>373.18</v>
      </c>
      <c r="I10" s="45">
        <f t="shared" si="1"/>
        <v>3240.9999999999991</v>
      </c>
      <c r="J10" s="739">
        <f>IF(IF('Resid TSM UC'!M10&gt;Inputs!$C$20,'Resid TSM UC'!J10-'Resid TSM UC'!M10+Inputs!$C$20,'Resid TSM UC'!J10)&lt;0,0,IF('Resid TSM UC'!M10&gt;Inputs!$C$20,'Resid TSM UC'!J10-'Resid TSM UC'!M10+Inputs!$C$20,'Resid TSM UC'!J10))</f>
        <v>1979.5343746713816</v>
      </c>
      <c r="K10" s="557">
        <f>IF(J10=0,'Resid TSM UC'!K10+('Resid TSM UC'!J10-'Resid TSM UC'!M10+Inputs!$C$20),'Resid TSM UC'!K10)</f>
        <v>888.28562532861781</v>
      </c>
      <c r="L10" s="557">
        <f>'Resid TSM UC'!L10</f>
        <v>373.18</v>
      </c>
      <c r="M10" s="45">
        <f t="shared" si="2"/>
        <v>3240.9999999999991</v>
      </c>
      <c r="N10" s="739">
        <f>IF(IF('Resid TSM UC'!Q10&gt;Inputs!$C$20,'Resid TSM UC'!N10-'Resid TSM UC'!Q10+Inputs!$C$20,'Resid TSM UC'!N10)&lt;0,0,IF('Resid TSM UC'!Q10&gt;Inputs!$C$20,'Resid TSM UC'!N10-'Resid TSM UC'!Q10+Inputs!$C$20,'Resid TSM UC'!N10))</f>
        <v>1979.5343746713816</v>
      </c>
      <c r="O10" s="557">
        <f>IF(N10=0,'Resid TSM UC'!O10+('Resid TSM UC'!N10-'Resid TSM UC'!Q10+Inputs!$C$20),'Resid TSM UC'!O10)</f>
        <v>888.28562532861781</v>
      </c>
      <c r="P10" s="557">
        <f>'Resid TSM UC'!P10</f>
        <v>373.18</v>
      </c>
      <c r="Q10" s="45">
        <f t="shared" si="3"/>
        <v>3240.9999999999991</v>
      </c>
      <c r="R10" s="141"/>
      <c r="S10" s="557">
        <f>IF(R10=0,'Resid TSM UC'!S10+('Resid TSM UC'!R10-'Resid TSM UC'!U10+Inputs!$C$20),'Resid TSM UC'!S10)</f>
        <v>2227.96</v>
      </c>
      <c r="T10" s="557">
        <f>'Resid TSM UC'!T10</f>
        <v>1013.04</v>
      </c>
      <c r="U10" s="45">
        <f t="shared" si="4"/>
        <v>3241</v>
      </c>
    </row>
    <row r="11" spans="1:21">
      <c r="A11" s="153" t="s">
        <v>116</v>
      </c>
      <c r="B11" s="739">
        <f>IF('Resid TSM UC'!E11&gt;Inputs!$C$20,'Resid TSM UC'!B11-'Resid TSM UC'!E11+Inputs!$C$20,'Resid TSM UC'!B11)</f>
        <v>1349.6507651389106</v>
      </c>
      <c r="C11" s="557">
        <f>'Resid TSM UC'!C11</f>
        <v>213.73179817905475</v>
      </c>
      <c r="D11" s="557">
        <f>'Resid TSM UC'!D11</f>
        <v>246.24333484162895</v>
      </c>
      <c r="E11" s="45">
        <f t="shared" si="0"/>
        <v>1809.6258981595943</v>
      </c>
      <c r="F11" s="739">
        <f>IF(IF('Resid TSM UC'!I11&gt;Inputs!$C$20,'Resid TSM UC'!F11-'Resid TSM UC'!I11+Inputs!$C$20,'Resid TSM UC'!F11)&lt;0,0,IF('Resid TSM UC'!I11&gt;Inputs!$C$20,'Resid TSM UC'!F11-'Resid TSM UC'!I11+Inputs!$C$20,'Resid TSM UC'!F11))</f>
        <v>1979.5343746713816</v>
      </c>
      <c r="G11" s="557">
        <f>IF(F11=0,'Resid TSM UC'!G11+('Resid TSM UC'!F11-'Resid TSM UC'!I11+Inputs!$C$20),'Resid TSM UC'!G11)</f>
        <v>888.28562532861781</v>
      </c>
      <c r="H11" s="557">
        <f>'Resid TSM UC'!H11</f>
        <v>373.18</v>
      </c>
      <c r="I11" s="45">
        <f t="shared" si="1"/>
        <v>3240.9999999999991</v>
      </c>
      <c r="J11" s="739">
        <f>IF(IF('Resid TSM UC'!M11&gt;Inputs!$C$20,'Resid TSM UC'!J11-'Resid TSM UC'!M11+Inputs!$C$20,'Resid TSM UC'!J11)&lt;0,0,IF('Resid TSM UC'!M11&gt;Inputs!$C$20,'Resid TSM UC'!J11-'Resid TSM UC'!M11+Inputs!$C$20,'Resid TSM UC'!J11))</f>
        <v>1979.5343746713816</v>
      </c>
      <c r="K11" s="557">
        <f>IF(J11=0,'Resid TSM UC'!K11+('Resid TSM UC'!J11-'Resid TSM UC'!M11+Inputs!$C$20),'Resid TSM UC'!K11)</f>
        <v>888.28562532861781</v>
      </c>
      <c r="L11" s="557">
        <f>'Resid TSM UC'!L11</f>
        <v>373.18</v>
      </c>
      <c r="M11" s="45">
        <f t="shared" si="2"/>
        <v>3240.9999999999991</v>
      </c>
      <c r="N11" s="739">
        <f>IF(IF('Resid TSM UC'!Q11&gt;Inputs!$C$20,'Resid TSM UC'!N11-'Resid TSM UC'!Q11+Inputs!$C$20,'Resid TSM UC'!N11)&lt;0,0,IF('Resid TSM UC'!Q11&gt;Inputs!$C$20,'Resid TSM UC'!N11-'Resid TSM UC'!Q11+Inputs!$C$20,'Resid TSM UC'!N11))</f>
        <v>1979.5343746713816</v>
      </c>
      <c r="O11" s="557">
        <f>IF(N11=0,'Resid TSM UC'!O11+('Resid TSM UC'!N11-'Resid TSM UC'!Q11+Inputs!$C$20),'Resid TSM UC'!O11)</f>
        <v>888.28562532861781</v>
      </c>
      <c r="P11" s="557">
        <f>'Resid TSM UC'!P11</f>
        <v>373.18</v>
      </c>
      <c r="Q11" s="45">
        <f t="shared" si="3"/>
        <v>3240.9999999999991</v>
      </c>
      <c r="R11" s="141"/>
      <c r="S11" s="557">
        <f>IF(R11=0,'Resid TSM UC'!S11+('Resid TSM UC'!R11-'Resid TSM UC'!U11+Inputs!$C$20),'Resid TSM UC'!S11)</f>
        <v>2227.96</v>
      </c>
      <c r="T11" s="557">
        <f>'Resid TSM UC'!T11</f>
        <v>1013.04</v>
      </c>
      <c r="U11" s="45">
        <f t="shared" si="4"/>
        <v>3241</v>
      </c>
    </row>
    <row r="12" spans="1:21">
      <c r="A12" s="153" t="s">
        <v>8</v>
      </c>
      <c r="B12" s="739">
        <f>IF('Resid TSM UC'!E12&gt;Inputs!$C$20,'Resid TSM UC'!B12-'Resid TSM UC'!E12+Inputs!$C$20,'Resid TSM UC'!B12)</f>
        <v>1450.0172593464001</v>
      </c>
      <c r="C12" s="557">
        <f>'Resid TSM UC'!C12</f>
        <v>515.2781532122292</v>
      </c>
      <c r="D12" s="557">
        <f>'Resid TSM UC'!D12</f>
        <v>246.24333484162895</v>
      </c>
      <c r="E12" s="45">
        <f t="shared" si="0"/>
        <v>2211.5387474002582</v>
      </c>
      <c r="F12" s="739">
        <f>IF(IF('Resid TSM UC'!I12&gt;Inputs!$C$20,'Resid TSM UC'!F12-'Resid TSM UC'!I12+Inputs!$C$20,'Resid TSM UC'!F12)&lt;0,0,IF('Resid TSM UC'!I12&gt;Inputs!$C$20,'Resid TSM UC'!F12-'Resid TSM UC'!I12+Inputs!$C$20,'Resid TSM UC'!F12))</f>
        <v>1711.248584020168</v>
      </c>
      <c r="G12" s="557">
        <f>IF(F12=0,'Resid TSM UC'!G12+('Resid TSM UC'!F12-'Resid TSM UC'!I12+Inputs!$C$20),'Resid TSM UC'!G12)</f>
        <v>1156.5714159798322</v>
      </c>
      <c r="H12" s="557">
        <f>'Resid TSM UC'!H12</f>
        <v>373.18</v>
      </c>
      <c r="I12" s="45">
        <f t="shared" si="1"/>
        <v>3241</v>
      </c>
      <c r="J12" s="739">
        <f>IF(IF('Resid TSM UC'!M12&gt;Inputs!$C$20,'Resid TSM UC'!J12-'Resid TSM UC'!M12+Inputs!$C$20,'Resid TSM UC'!J12)&lt;0,0,IF('Resid TSM UC'!M12&gt;Inputs!$C$20,'Resid TSM UC'!J12-'Resid TSM UC'!M12+Inputs!$C$20,'Resid TSM UC'!J12))</f>
        <v>1711.248584020168</v>
      </c>
      <c r="K12" s="557">
        <f>IF(J12=0,'Resid TSM UC'!K12+('Resid TSM UC'!J12-'Resid TSM UC'!M12+Inputs!$C$20),'Resid TSM UC'!K12)</f>
        <v>1156.5714159798322</v>
      </c>
      <c r="L12" s="557">
        <f>'Resid TSM UC'!L12</f>
        <v>373.18</v>
      </c>
      <c r="M12" s="45">
        <f t="shared" si="2"/>
        <v>3241</v>
      </c>
      <c r="N12" s="739">
        <f>IF(IF('Resid TSM UC'!Q12&gt;Inputs!$C$20,'Resid TSM UC'!N12-'Resid TSM UC'!Q12+Inputs!$C$20,'Resid TSM UC'!N12)&lt;0,0,IF('Resid TSM UC'!Q12&gt;Inputs!$C$20,'Resid TSM UC'!N12-'Resid TSM UC'!Q12+Inputs!$C$20,'Resid TSM UC'!N12))</f>
        <v>1711.248584020168</v>
      </c>
      <c r="O12" s="557">
        <f>IF(N12=0,'Resid TSM UC'!O12+('Resid TSM UC'!N12-'Resid TSM UC'!Q12+Inputs!$C$20),'Resid TSM UC'!O12)</f>
        <v>1156.5714159798322</v>
      </c>
      <c r="P12" s="557">
        <f>'Resid TSM UC'!P12</f>
        <v>373.18</v>
      </c>
      <c r="Q12" s="45">
        <f t="shared" si="3"/>
        <v>3241</v>
      </c>
      <c r="R12" s="141"/>
      <c r="S12" s="557">
        <f>IF(R12=0,'Resid TSM UC'!S12+('Resid TSM UC'!R12-'Resid TSM UC'!U12+Inputs!$C$20),'Resid TSM UC'!S12)</f>
        <v>2227.96</v>
      </c>
      <c r="T12" s="557">
        <f>'Resid TSM UC'!T12</f>
        <v>1013.04</v>
      </c>
      <c r="U12" s="45">
        <f t="shared" si="4"/>
        <v>3241</v>
      </c>
    </row>
    <row r="13" spans="1:21">
      <c r="A13" s="153" t="s">
        <v>9</v>
      </c>
      <c r="B13" s="739">
        <f>IF('Resid TSM UC'!E13&gt;Inputs!$C$20,'Resid TSM UC'!B13-'Resid TSM UC'!E13+Inputs!$C$20,'Resid TSM UC'!B13)</f>
        <v>2164.5829799699918</v>
      </c>
      <c r="C13" s="557">
        <f>'Resid TSM UC'!C13</f>
        <v>830.17368518837884</v>
      </c>
      <c r="D13" s="557">
        <f>'Resid TSM UC'!D13</f>
        <v>246.24333484162895</v>
      </c>
      <c r="E13" s="45">
        <f t="shared" si="0"/>
        <v>3240.9999999999995</v>
      </c>
      <c r="F13" s="739">
        <f>IF(IF('Resid TSM UC'!I13&gt;Inputs!$C$20,'Resid TSM UC'!F13-'Resid TSM UC'!I13+Inputs!$C$20,'Resid TSM UC'!F13)&lt;0,0,IF('Resid TSM UC'!I13&gt;Inputs!$C$20,'Resid TSM UC'!F13-'Resid TSM UC'!I13+Inputs!$C$20,'Resid TSM UC'!F13))</f>
        <v>1086.3440211748748</v>
      </c>
      <c r="G13" s="557">
        <f>IF(F13=0,'Resid TSM UC'!G13+('Resid TSM UC'!F13-'Resid TSM UC'!I13+Inputs!$C$20),'Resid TSM UC'!G13)</f>
        <v>1781.4759788251249</v>
      </c>
      <c r="H13" s="557">
        <f>'Resid TSM UC'!H13</f>
        <v>373.18</v>
      </c>
      <c r="I13" s="45">
        <f t="shared" si="1"/>
        <v>3240.9999999999995</v>
      </c>
      <c r="J13" s="739">
        <f>IF(IF('Resid TSM UC'!M13&gt;Inputs!$C$20,'Resid TSM UC'!J13-'Resid TSM UC'!M13+Inputs!$C$20,'Resid TSM UC'!J13)&lt;0,0,IF('Resid TSM UC'!M13&gt;Inputs!$C$20,'Resid TSM UC'!J13-'Resid TSM UC'!M13+Inputs!$C$20,'Resid TSM UC'!J13))</f>
        <v>1086.3440211748748</v>
      </c>
      <c r="K13" s="557">
        <f>IF(J13=0,'Resid TSM UC'!K13+('Resid TSM UC'!J13-'Resid TSM UC'!M13+Inputs!$C$20),'Resid TSM UC'!K13)</f>
        <v>1781.4759788251249</v>
      </c>
      <c r="L13" s="557">
        <f>'Resid TSM UC'!L13</f>
        <v>373.18</v>
      </c>
      <c r="M13" s="45">
        <f t="shared" si="2"/>
        <v>3240.9999999999995</v>
      </c>
      <c r="N13" s="739">
        <f>IF(IF('Resid TSM UC'!Q13&gt;Inputs!$C$20,'Resid TSM UC'!N13-'Resid TSM UC'!Q13+Inputs!$C$20,'Resid TSM UC'!N13)&lt;0,0,IF('Resid TSM UC'!Q13&gt;Inputs!$C$20,'Resid TSM UC'!N13-'Resid TSM UC'!Q13+Inputs!$C$20,'Resid TSM UC'!N13))</f>
        <v>1711.248584020168</v>
      </c>
      <c r="O13" s="557">
        <f>IF(N13=0,'Resid TSM UC'!O13+('Resid TSM UC'!N13-'Resid TSM UC'!Q13+Inputs!$C$20),'Resid TSM UC'!O13)</f>
        <v>1156.5714159798322</v>
      </c>
      <c r="P13" s="557">
        <f>'Resid TSM UC'!P13</f>
        <v>373.18</v>
      </c>
      <c r="Q13" s="45">
        <f t="shared" si="3"/>
        <v>3241</v>
      </c>
      <c r="R13" s="141"/>
      <c r="S13" s="557">
        <f>IF(R13=0,'Resid TSM UC'!S13+('Resid TSM UC'!R13-'Resid TSM UC'!U13+Inputs!$C$20),'Resid TSM UC'!S13)</f>
        <v>2227.96</v>
      </c>
      <c r="T13" s="557">
        <f>'Resid TSM UC'!T13</f>
        <v>1013.04</v>
      </c>
      <c r="U13" s="45">
        <f t="shared" si="4"/>
        <v>3241</v>
      </c>
    </row>
    <row r="14" spans="1:21">
      <c r="A14" s="153" t="s">
        <v>10</v>
      </c>
      <c r="B14" s="739">
        <f>IF('Resid TSM UC'!E14&gt;Inputs!$C$20,'Resid TSM UC'!B14-'Resid TSM UC'!E14+Inputs!$C$20,'Resid TSM UC'!B14)</f>
        <v>1416.3130447816138</v>
      </c>
      <c r="C14" s="557">
        <f>'Resid TSM UC'!C14</f>
        <v>1578.4436203767575</v>
      </c>
      <c r="D14" s="557">
        <f>'Resid TSM UC'!D14</f>
        <v>246.24333484162895</v>
      </c>
      <c r="E14" s="45">
        <f t="shared" si="0"/>
        <v>3241</v>
      </c>
      <c r="F14" s="739">
        <f>IF(IF('Resid TSM UC'!I14&gt;Inputs!$C$20,'Resid TSM UC'!F14-'Resid TSM UC'!I14+Inputs!$C$20,'Resid TSM UC'!F14)&lt;0,0,IF('Resid TSM UC'!I14&gt;Inputs!$C$20,'Resid TSM UC'!F14-'Resid TSM UC'!I14+Inputs!$C$20,'Resid TSM UC'!F14))</f>
        <v>1086.3440211748748</v>
      </c>
      <c r="G14" s="557">
        <f>IF(F14=0,'Resid TSM UC'!G14+('Resid TSM UC'!F14-'Resid TSM UC'!I14+Inputs!$C$20),'Resid TSM UC'!G14)</f>
        <v>1781.4759788251249</v>
      </c>
      <c r="H14" s="557">
        <f>'Resid TSM UC'!H14</f>
        <v>373.18</v>
      </c>
      <c r="I14" s="45">
        <f t="shared" si="1"/>
        <v>3240.9999999999995</v>
      </c>
      <c r="J14" s="739">
        <f>IF(IF('Resid TSM UC'!M14&gt;Inputs!$C$20,'Resid TSM UC'!J14-'Resid TSM UC'!M14+Inputs!$C$20,'Resid TSM UC'!J14)&lt;0,0,IF('Resid TSM UC'!M14&gt;Inputs!$C$20,'Resid TSM UC'!J14-'Resid TSM UC'!M14+Inputs!$C$20,'Resid TSM UC'!J14))</f>
        <v>1086.3440211748748</v>
      </c>
      <c r="K14" s="557">
        <f>IF(J14=0,'Resid TSM UC'!K14+('Resid TSM UC'!J14-'Resid TSM UC'!M14+Inputs!$C$20),'Resid TSM UC'!K14)</f>
        <v>1781.4759788251249</v>
      </c>
      <c r="L14" s="557">
        <f>'Resid TSM UC'!L14</f>
        <v>373.18</v>
      </c>
      <c r="M14" s="45">
        <f t="shared" si="2"/>
        <v>3240.9999999999995</v>
      </c>
      <c r="N14" s="739">
        <f>IF(IF('Resid TSM UC'!Q14&gt;Inputs!$C$20,'Resid TSM UC'!N14-'Resid TSM UC'!Q14+Inputs!$C$20,'Resid TSM UC'!N14)&lt;0,0,IF('Resid TSM UC'!Q14&gt;Inputs!$C$20,'Resid TSM UC'!N14-'Resid TSM UC'!Q14+Inputs!$C$20,'Resid TSM UC'!N14))</f>
        <v>1086.3440211748748</v>
      </c>
      <c r="O14" s="557">
        <f>IF(N14=0,'Resid TSM UC'!O14+('Resid TSM UC'!N14-'Resid TSM UC'!Q14+Inputs!$C$20),'Resid TSM UC'!O14)</f>
        <v>1781.4759788251249</v>
      </c>
      <c r="P14" s="557">
        <f>'Resid TSM UC'!P14</f>
        <v>373.18</v>
      </c>
      <c r="Q14" s="45">
        <f t="shared" si="3"/>
        <v>3240.9999999999995</v>
      </c>
      <c r="R14" s="141"/>
      <c r="S14" s="557">
        <f>IF(R14=0,'Resid TSM UC'!S14+('Resid TSM UC'!R14-'Resid TSM UC'!U14+Inputs!$C$20),'Resid TSM UC'!S14)</f>
        <v>2227.96</v>
      </c>
      <c r="T14" s="557">
        <f>'Resid TSM UC'!T14</f>
        <v>1013.04</v>
      </c>
      <c r="U14" s="45">
        <f t="shared" si="4"/>
        <v>3241</v>
      </c>
    </row>
    <row r="15" spans="1:21">
      <c r="A15" s="153" t="s">
        <v>11</v>
      </c>
      <c r="B15" s="739">
        <f>IF('Resid TSM UC'!E15&gt;Inputs!$C$20,'Resid TSM UC'!B15-'Resid TSM UC'!E15+Inputs!$C$20,'Resid TSM UC'!B15)</f>
        <v>668.04310959323448</v>
      </c>
      <c r="C15" s="557">
        <f>'Resid TSM UC'!C15</f>
        <v>2326.7135555651362</v>
      </c>
      <c r="D15" s="557">
        <f>'Resid TSM UC'!D15</f>
        <v>246.24333484162895</v>
      </c>
      <c r="E15" s="45">
        <f t="shared" si="0"/>
        <v>3240.9999999999995</v>
      </c>
      <c r="F15" s="739">
        <f>IF(IF('Resid TSM UC'!I15&gt;Inputs!$C$20,'Resid TSM UC'!F15-'Resid TSM UC'!I15+Inputs!$C$20,'Resid TSM UC'!F15)&lt;0,0,IF('Resid TSM UC'!I15&gt;Inputs!$C$20,'Resid TSM UC'!F15-'Resid TSM UC'!I15+Inputs!$C$20,'Resid TSM UC'!F15))</f>
        <v>0</v>
      </c>
      <c r="G15" s="557">
        <f>IF(F15=0,'Resid TSM UC'!G15+('Resid TSM UC'!F15-'Resid TSM UC'!I15+Inputs!$C$20),'Resid TSM UC'!G15)</f>
        <v>2867.8199999999997</v>
      </c>
      <c r="H15" s="557">
        <f>'Resid TSM UC'!H15</f>
        <v>373.18</v>
      </c>
      <c r="I15" s="45">
        <f t="shared" si="1"/>
        <v>3240.9999999999995</v>
      </c>
      <c r="J15" s="739">
        <f>IF(IF('Resid TSM UC'!M15&gt;Inputs!$C$20,'Resid TSM UC'!J15-'Resid TSM UC'!M15+Inputs!$C$20,'Resid TSM UC'!J15)&lt;0,0,IF('Resid TSM UC'!M15&gt;Inputs!$C$20,'Resid TSM UC'!J15-'Resid TSM UC'!M15+Inputs!$C$20,'Resid TSM UC'!J15))</f>
        <v>0</v>
      </c>
      <c r="K15" s="557">
        <f>IF(J15=0,'Resid TSM UC'!K15+('Resid TSM UC'!J15-'Resid TSM UC'!M15+Inputs!$C$20),'Resid TSM UC'!K15)</f>
        <v>2867.8199999999997</v>
      </c>
      <c r="L15" s="557">
        <f>'Resid TSM UC'!L15</f>
        <v>373.18</v>
      </c>
      <c r="M15" s="45">
        <f t="shared" si="2"/>
        <v>3240.9999999999995</v>
      </c>
      <c r="N15" s="739">
        <f>IF(IF('Resid TSM UC'!Q15&gt;Inputs!$C$20,'Resid TSM UC'!N15-'Resid TSM UC'!Q15+Inputs!$C$20,'Resid TSM UC'!N15)&lt;0,0,IF('Resid TSM UC'!Q15&gt;Inputs!$C$20,'Resid TSM UC'!N15-'Resid TSM UC'!Q15+Inputs!$C$20,'Resid TSM UC'!N15))</f>
        <v>1086.3440211748748</v>
      </c>
      <c r="O15" s="557">
        <f>IF(N15=0,'Resid TSM UC'!O15+('Resid TSM UC'!N15-'Resid TSM UC'!Q15+Inputs!$C$20),'Resid TSM UC'!O15)</f>
        <v>1781.4759788251249</v>
      </c>
      <c r="P15" s="557">
        <f>'Resid TSM UC'!P15</f>
        <v>373.18</v>
      </c>
      <c r="Q15" s="45">
        <f t="shared" si="3"/>
        <v>3240.9999999999995</v>
      </c>
      <c r="R15" s="141"/>
      <c r="S15" s="557">
        <f>IF(R15=0,'Resid TSM UC'!S15+('Resid TSM UC'!R15-'Resid TSM UC'!U15+Inputs!$C$20),'Resid TSM UC'!S15)</f>
        <v>2227.96</v>
      </c>
      <c r="T15" s="557">
        <f>'Resid TSM UC'!T15</f>
        <v>1013.04</v>
      </c>
      <c r="U15" s="45">
        <f t="shared" si="4"/>
        <v>3241</v>
      </c>
    </row>
    <row r="16" spans="1:21">
      <c r="A16" s="153" t="s">
        <v>120</v>
      </c>
      <c r="B16" s="739">
        <f>IF('Resid TSM UC'!E16&gt;Inputs!$C$20,'Resid TSM UC'!B16-'Resid TSM UC'!E16+Inputs!$C$20,'Resid TSM UC'!B16)</f>
        <v>668.04310959323448</v>
      </c>
      <c r="C16" s="557">
        <f>'Resid TSM UC'!C16</f>
        <v>2326.7135555651362</v>
      </c>
      <c r="D16" s="557">
        <f>'Resid TSM UC'!D16</f>
        <v>246.24333484162895</v>
      </c>
      <c r="E16" s="45">
        <f t="shared" si="0"/>
        <v>3240.9999999999995</v>
      </c>
      <c r="F16" s="739">
        <f>IF(IF('Resid TSM UC'!I16&gt;Inputs!$C$20,'Resid TSM UC'!F16-'Resid TSM UC'!I16+Inputs!$C$20,'Resid TSM UC'!F16)&lt;0,0,IF('Resid TSM UC'!I16&gt;Inputs!$C$20,'Resid TSM UC'!F16-'Resid TSM UC'!I16+Inputs!$C$20,'Resid TSM UC'!F16))</f>
        <v>0</v>
      </c>
      <c r="G16" s="557">
        <f>IF(F16=0,'Resid TSM UC'!G16+('Resid TSM UC'!F16-'Resid TSM UC'!I16+Inputs!$C$20),'Resid TSM UC'!G16)</f>
        <v>2867.8200000000006</v>
      </c>
      <c r="H16" s="557">
        <f>'Resid TSM UC'!H16</f>
        <v>373.18</v>
      </c>
      <c r="I16" s="45">
        <f t="shared" si="1"/>
        <v>3241.0000000000005</v>
      </c>
      <c r="J16" s="739">
        <f>IF(IF('Resid TSM UC'!M16&gt;Inputs!$C$20,'Resid TSM UC'!J16-'Resid TSM UC'!M16+Inputs!$C$20,'Resid TSM UC'!J16)&lt;0,0,IF('Resid TSM UC'!M16&gt;Inputs!$C$20,'Resid TSM UC'!J16-'Resid TSM UC'!M16+Inputs!$C$20,'Resid TSM UC'!J16))</f>
        <v>0</v>
      </c>
      <c r="K16" s="557">
        <f>IF(J16=0,'Resid TSM UC'!K16+('Resid TSM UC'!J16-'Resid TSM UC'!M16+Inputs!$C$20),'Resid TSM UC'!K16)</f>
        <v>2867.8199999999988</v>
      </c>
      <c r="L16" s="557">
        <f>'Resid TSM UC'!L16</f>
        <v>373.18</v>
      </c>
      <c r="M16" s="45">
        <f t="shared" si="2"/>
        <v>3240.9999999999986</v>
      </c>
      <c r="N16" s="739">
        <f>IF(IF('Resid TSM UC'!Q16&gt;Inputs!$C$20,'Resid TSM UC'!N16-'Resid TSM UC'!Q16+Inputs!$C$20,'Resid TSM UC'!N16)&lt;0,0,IF('Resid TSM UC'!Q16&gt;Inputs!$C$20,'Resid TSM UC'!N16-'Resid TSM UC'!Q16+Inputs!$C$20,'Resid TSM UC'!N16))</f>
        <v>467.83851906877499</v>
      </c>
      <c r="O16" s="557">
        <f>IF(N16=0,'Resid TSM UC'!O16+('Resid TSM UC'!N16-'Resid TSM UC'!Q16+Inputs!$C$20),'Resid TSM UC'!O16)</f>
        <v>2399.9814809312252</v>
      </c>
      <c r="P16" s="557">
        <f>'Resid TSM UC'!P16</f>
        <v>373.18</v>
      </c>
      <c r="Q16" s="45">
        <f t="shared" si="3"/>
        <v>3241</v>
      </c>
      <c r="R16" s="141"/>
      <c r="S16" s="557">
        <f>IF(R16=0,'Resid TSM UC'!S16+('Resid TSM UC'!R16-'Resid TSM UC'!U16+Inputs!$C$20),'Resid TSM UC'!S16)</f>
        <v>2227.96</v>
      </c>
      <c r="T16" s="557">
        <f>'Resid TSM UC'!T16</f>
        <v>1013.04</v>
      </c>
      <c r="U16" s="45">
        <f t="shared" si="4"/>
        <v>3241</v>
      </c>
    </row>
    <row r="17" spans="1:21">
      <c r="A17" s="153" t="s">
        <v>121</v>
      </c>
      <c r="B17" s="141"/>
      <c r="C17" s="126"/>
      <c r="D17" s="126"/>
      <c r="E17" s="45"/>
      <c r="F17" s="739">
        <f>IF(IF('Resid TSM UC'!I17&gt;Inputs!$C$20,'Resid TSM UC'!F17-'Resid TSM UC'!I17+Inputs!$C$20,'Resid TSM UC'!F17)&lt;0,0,IF('Resid TSM UC'!I17&gt;Inputs!$C$20,'Resid TSM UC'!F17-'Resid TSM UC'!I17+Inputs!$C$20,'Resid TSM UC'!F17))</f>
        <v>0</v>
      </c>
      <c r="G17" s="557">
        <f>IF(F17=0,'Resid TSM UC'!G17+('Resid TSM UC'!F17-'Resid TSM UC'!I17+Inputs!$C$20),'Resid TSM UC'!G17)</f>
        <v>2867.8200000000006</v>
      </c>
      <c r="H17" s="557">
        <f>'Resid TSM UC'!H17</f>
        <v>373.18</v>
      </c>
      <c r="I17" s="45">
        <f t="shared" si="1"/>
        <v>3241.0000000000005</v>
      </c>
      <c r="J17" s="739">
        <f>IF(IF('Resid TSM UC'!M17&gt;Inputs!$C$20,'Resid TSM UC'!J17-'Resid TSM UC'!M17+Inputs!$C$20,'Resid TSM UC'!J17)&lt;0,0,IF('Resid TSM UC'!M17&gt;Inputs!$C$20,'Resid TSM UC'!J17-'Resid TSM UC'!M17+Inputs!$C$20,'Resid TSM UC'!J17))</f>
        <v>0</v>
      </c>
      <c r="K17" s="557">
        <f>IF(J17=0,'Resid TSM UC'!K17+('Resid TSM UC'!J17-'Resid TSM UC'!M17+Inputs!$C$20),'Resid TSM UC'!K17)</f>
        <v>2867.8199999999988</v>
      </c>
      <c r="L17" s="557">
        <f>'Resid TSM UC'!L17</f>
        <v>373.18</v>
      </c>
      <c r="M17" s="45">
        <f t="shared" si="2"/>
        <v>3240.9999999999986</v>
      </c>
      <c r="N17" s="739">
        <f>IF(IF('Resid TSM UC'!Q17&gt;Inputs!$C$20,'Resid TSM UC'!N17-'Resid TSM UC'!Q17+Inputs!$C$20,'Resid TSM UC'!N17)&lt;0,0,IF('Resid TSM UC'!Q17&gt;Inputs!$C$20,'Resid TSM UC'!N17-'Resid TSM UC'!Q17+Inputs!$C$20,'Resid TSM UC'!N17))</f>
        <v>467.83851906877499</v>
      </c>
      <c r="O17" s="557">
        <f>IF(N17=0,'Resid TSM UC'!O17+('Resid TSM UC'!N17-'Resid TSM UC'!Q17+Inputs!$C$20),'Resid TSM UC'!O17)</f>
        <v>2399.9814809312252</v>
      </c>
      <c r="P17" s="557">
        <f>'Resid TSM UC'!P17</f>
        <v>373.18</v>
      </c>
      <c r="Q17" s="45">
        <f t="shared" si="3"/>
        <v>3241</v>
      </c>
      <c r="R17" s="141"/>
      <c r="S17" s="557">
        <f>IF(R17=0,'Resid TSM UC'!S17+('Resid TSM UC'!R17-'Resid TSM UC'!U17+Inputs!$C$20),'Resid TSM UC'!S17)</f>
        <v>2227.96</v>
      </c>
      <c r="T17" s="557">
        <f>'Resid TSM UC'!T17</f>
        <v>1013.04</v>
      </c>
      <c r="U17" s="45">
        <f t="shared" si="4"/>
        <v>3241</v>
      </c>
    </row>
    <row r="18" spans="1:21">
      <c r="A18" s="153" t="s">
        <v>12</v>
      </c>
      <c r="B18" s="141"/>
      <c r="C18" s="126"/>
      <c r="D18" s="126"/>
      <c r="E18" s="45"/>
      <c r="F18" s="141"/>
      <c r="G18" s="126"/>
      <c r="H18" s="126"/>
      <c r="I18" s="45"/>
      <c r="J18" s="739">
        <f>IF(IF('Resid TSM UC'!M18&gt;Inputs!$C$20,'Resid TSM UC'!J18-'Resid TSM UC'!M18+Inputs!$C$20,'Resid TSM UC'!J18)&lt;0,0,IF('Resid TSM UC'!M18&gt;Inputs!$C$20,'Resid TSM UC'!J18-'Resid TSM UC'!M18+Inputs!$C$20,'Resid TSM UC'!J18))</f>
        <v>0</v>
      </c>
      <c r="K18" s="557">
        <f>IF(J18=0,'Resid TSM UC'!K18+('Resid TSM UC'!J18-'Resid TSM UC'!M18+Inputs!$C$20),'Resid TSM UC'!K18)</f>
        <v>2867.8199999999979</v>
      </c>
      <c r="L18" s="557">
        <f>'Resid TSM UC'!L18</f>
        <v>373.18</v>
      </c>
      <c r="M18" s="45">
        <f t="shared" si="2"/>
        <v>3240.9999999999977</v>
      </c>
      <c r="N18" s="739">
        <f>IF(IF('Resid TSM UC'!Q18&gt;Inputs!$C$20,'Resid TSM UC'!N18-'Resid TSM UC'!Q18+Inputs!$C$20,'Resid TSM UC'!N18)&lt;0,0,IF('Resid TSM UC'!Q18&gt;Inputs!$C$20,'Resid TSM UC'!N18-'Resid TSM UC'!Q18+Inputs!$C$20,'Resid TSM UC'!N18))</f>
        <v>0</v>
      </c>
      <c r="O18" s="557">
        <f>IF(N18=0,'Resid TSM UC'!O18+('Resid TSM UC'!N18-'Resid TSM UC'!Q18+Inputs!$C$20),'Resid TSM UC'!O18)</f>
        <v>2867.8200000000006</v>
      </c>
      <c r="P18" s="557">
        <f>'Resid TSM UC'!P18</f>
        <v>373.18</v>
      </c>
      <c r="Q18" s="45">
        <f t="shared" si="3"/>
        <v>3241.0000000000005</v>
      </c>
      <c r="R18" s="141"/>
      <c r="S18" s="557">
        <f>IF(R18=0,'Resid TSM UC'!S18+('Resid TSM UC'!R18-'Resid TSM UC'!U18+Inputs!$C$20),'Resid TSM UC'!S18)</f>
        <v>2227.96</v>
      </c>
      <c r="T18" s="557">
        <f>'Resid TSM UC'!T18</f>
        <v>1013.04</v>
      </c>
      <c r="U18" s="45">
        <f t="shared" si="4"/>
        <v>3241</v>
      </c>
    </row>
    <row r="19" spans="1:21">
      <c r="A19" s="153" t="s">
        <v>13</v>
      </c>
      <c r="B19" s="141"/>
      <c r="C19" s="126"/>
      <c r="D19" s="126"/>
      <c r="E19" s="45"/>
      <c r="F19" s="141"/>
      <c r="G19" s="126"/>
      <c r="H19" s="126"/>
      <c r="I19" s="45"/>
      <c r="J19" s="739">
        <f>IF(IF('Resid TSM UC'!M19&gt;Inputs!$C$20,'Resid TSM UC'!J19-'Resid TSM UC'!M19+Inputs!$C$20,'Resid TSM UC'!J19)&lt;0,0,IF('Resid TSM UC'!M19&gt;Inputs!$C$20,'Resid TSM UC'!J19-'Resid TSM UC'!M19+Inputs!$C$20,'Resid TSM UC'!J19))</f>
        <v>0</v>
      </c>
      <c r="K19" s="557">
        <f>IF(J19=0,'Resid TSM UC'!K19+('Resid TSM UC'!J19-'Resid TSM UC'!M19+Inputs!$C$20),'Resid TSM UC'!K19)</f>
        <v>2867.8199999999997</v>
      </c>
      <c r="L19" s="557">
        <f>'Resid TSM UC'!L19</f>
        <v>373.18</v>
      </c>
      <c r="M19" s="45">
        <f t="shared" si="2"/>
        <v>3240.9999999999995</v>
      </c>
      <c r="N19" s="739">
        <f>IF(IF('Resid TSM UC'!Q19&gt;Inputs!$C$20,'Resid TSM UC'!N19-'Resid TSM UC'!Q19+Inputs!$C$20,'Resid TSM UC'!N19)&lt;0,0,IF('Resid TSM UC'!Q19&gt;Inputs!$C$20,'Resid TSM UC'!N19-'Resid TSM UC'!Q19+Inputs!$C$20,'Resid TSM UC'!N19))</f>
        <v>0</v>
      </c>
      <c r="O19" s="557">
        <f>IF(N19=0,'Resid TSM UC'!O19+('Resid TSM UC'!N19-'Resid TSM UC'!Q19+Inputs!$C$20),'Resid TSM UC'!O19)</f>
        <v>2867.8200000000006</v>
      </c>
      <c r="P19" s="557">
        <f>'Resid TSM UC'!P19</f>
        <v>373.18</v>
      </c>
      <c r="Q19" s="45">
        <f t="shared" si="3"/>
        <v>3241.0000000000005</v>
      </c>
      <c r="R19" s="141"/>
      <c r="S19" s="557">
        <f>IF(R19=0,'Resid TSM UC'!S19+('Resid TSM UC'!R19-'Resid TSM UC'!U19+Inputs!$C$20),'Resid TSM UC'!S19)</f>
        <v>2227.96</v>
      </c>
      <c r="T19" s="557">
        <f>'Resid TSM UC'!T19</f>
        <v>1013.04</v>
      </c>
      <c r="U19" s="45">
        <f t="shared" si="4"/>
        <v>3241</v>
      </c>
    </row>
    <row r="20" spans="1:21">
      <c r="A20" s="153" t="s">
        <v>122</v>
      </c>
      <c r="B20" s="141"/>
      <c r="C20" s="126"/>
      <c r="D20" s="469"/>
      <c r="E20" s="45"/>
      <c r="F20" s="141"/>
      <c r="G20" s="126"/>
      <c r="H20" s="126"/>
      <c r="I20" s="45"/>
      <c r="J20" s="739">
        <f>IF(IF('Resid TSM UC'!M20&gt;Inputs!$C$20,'Resid TSM UC'!J20-'Resid TSM UC'!M20+Inputs!$C$20,'Resid TSM UC'!J20)&lt;0,0,IF('Resid TSM UC'!M20&gt;Inputs!$C$20,'Resid TSM UC'!J20-'Resid TSM UC'!M20+Inputs!$C$20,'Resid TSM UC'!J20))</f>
        <v>0</v>
      </c>
      <c r="K20" s="557">
        <f>IF(J20=0,'Resid TSM UC'!K20+('Resid TSM UC'!J20-'Resid TSM UC'!M20+Inputs!$C$20),'Resid TSM UC'!K20)</f>
        <v>2867.8200000000033</v>
      </c>
      <c r="L20" s="557">
        <f>'Resid TSM UC'!L20</f>
        <v>373.18</v>
      </c>
      <c r="M20" s="45">
        <f t="shared" si="2"/>
        <v>3241.0000000000032</v>
      </c>
      <c r="N20" s="739">
        <f>IF(IF('Resid TSM UC'!Q20&gt;Inputs!$C$20,'Resid TSM UC'!N20-'Resid TSM UC'!Q20+Inputs!$C$20,'Resid TSM UC'!N20)&lt;0,0,IF('Resid TSM UC'!Q20&gt;Inputs!$C$20,'Resid TSM UC'!N20-'Resid TSM UC'!Q20+Inputs!$C$20,'Resid TSM UC'!N20))</f>
        <v>0</v>
      </c>
      <c r="O20" s="557">
        <f>IF(N20=0,'Resid TSM UC'!O20+('Resid TSM UC'!N20-'Resid TSM UC'!Q20+Inputs!$C$20),'Resid TSM UC'!O20)</f>
        <v>2867.8200000000006</v>
      </c>
      <c r="P20" s="557">
        <f>'Resid TSM UC'!P20</f>
        <v>373.18</v>
      </c>
      <c r="Q20" s="45">
        <f>SUM(N20:P20)</f>
        <v>3241.0000000000005</v>
      </c>
      <c r="R20" s="141"/>
      <c r="S20" s="557">
        <f>IF(R20=0,'Resid TSM UC'!S20+('Resid TSM UC'!R20-'Resid TSM UC'!U20+Inputs!$C$20),'Resid TSM UC'!S20)</f>
        <v>2227.96</v>
      </c>
      <c r="T20" s="557">
        <f>'Resid TSM UC'!T20</f>
        <v>1013.04</v>
      </c>
      <c r="U20" s="45">
        <f>SUM(R20:T20)</f>
        <v>3241</v>
      </c>
    </row>
    <row r="21" spans="1:21">
      <c r="A21" s="153" t="s">
        <v>123</v>
      </c>
      <c r="B21" s="141"/>
      <c r="C21" s="126"/>
      <c r="D21" s="126"/>
      <c r="E21" s="45"/>
      <c r="F21" s="141"/>
      <c r="G21" s="126"/>
      <c r="H21" s="126"/>
      <c r="I21" s="45"/>
      <c r="J21" s="739">
        <f>IF(IF('Resid TSM UC'!M21&gt;Inputs!$C$20,'Resid TSM UC'!J21-'Resid TSM UC'!M21+Inputs!$C$20,'Resid TSM UC'!J21)&lt;0,0,IF('Resid TSM UC'!M21&gt;Inputs!$C$20,'Resid TSM UC'!J21-'Resid TSM UC'!M21+Inputs!$C$20,'Resid TSM UC'!J21))</f>
        <v>0</v>
      </c>
      <c r="K21" s="557">
        <f>IF(J21=0,'Resid TSM UC'!K21+('Resid TSM UC'!J21-'Resid TSM UC'!M21+Inputs!$C$20),'Resid TSM UC'!K21)</f>
        <v>2867.8200000000033</v>
      </c>
      <c r="L21" s="557">
        <f>'Resid TSM UC'!L21</f>
        <v>373.18</v>
      </c>
      <c r="M21" s="45">
        <f t="shared" si="2"/>
        <v>3241.0000000000032</v>
      </c>
      <c r="N21" s="739">
        <f>IF(IF('Resid TSM UC'!Q21&gt;Inputs!$C$20,'Resid TSM UC'!N21-'Resid TSM UC'!Q21+Inputs!$C$20,'Resid TSM UC'!N21)&lt;0,0,IF('Resid TSM UC'!Q21&gt;Inputs!$C$20,'Resid TSM UC'!N21-'Resid TSM UC'!Q21+Inputs!$C$20,'Resid TSM UC'!N21))</f>
        <v>0</v>
      </c>
      <c r="O21" s="557">
        <f>IF(N21=0,'Resid TSM UC'!O21+('Resid TSM UC'!N21-'Resid TSM UC'!Q21+Inputs!$C$20),'Resid TSM UC'!O21)</f>
        <v>2867.8200000000006</v>
      </c>
      <c r="P21" s="557">
        <f>'Resid TSM UC'!P21</f>
        <v>373.18</v>
      </c>
      <c r="Q21" s="45">
        <f t="shared" si="3"/>
        <v>3241.0000000000005</v>
      </c>
      <c r="R21" s="141"/>
      <c r="S21" s="557">
        <f>IF(R21=0,'Resid TSM UC'!S21+('Resid TSM UC'!R21-'Resid TSM UC'!U21+Inputs!$C$20),'Resid TSM UC'!S21)</f>
        <v>2227.96</v>
      </c>
      <c r="T21" s="557">
        <f>'Resid TSM UC'!T21</f>
        <v>1013.04</v>
      </c>
      <c r="U21" s="45">
        <f t="shared" ref="U21:U30" si="5">SUM(R21:T21)</f>
        <v>3241</v>
      </c>
    </row>
    <row r="22" spans="1:21">
      <c r="A22" s="153" t="s">
        <v>14</v>
      </c>
      <c r="B22" s="141"/>
      <c r="C22" s="126"/>
      <c r="D22" s="126"/>
      <c r="E22" s="45"/>
      <c r="F22" s="141"/>
      <c r="G22" s="126"/>
      <c r="H22" s="126"/>
      <c r="I22" s="45"/>
      <c r="J22" s="739">
        <f>IF(IF('Resid TSM UC'!M22&gt;Inputs!$C$20,'Resid TSM UC'!J22-'Resid TSM UC'!M22+Inputs!$C$20,'Resid TSM UC'!J22)&lt;0,0,IF('Resid TSM UC'!M22&gt;Inputs!$C$20,'Resid TSM UC'!J22-'Resid TSM UC'!M22+Inputs!$C$20,'Resid TSM UC'!J22))</f>
        <v>0</v>
      </c>
      <c r="K22" s="557">
        <f>IF(J22=0,'Resid TSM UC'!K22+('Resid TSM UC'!J22-'Resid TSM UC'!M22+Inputs!$C$20),'Resid TSM UC'!K22)</f>
        <v>2867.8199999999997</v>
      </c>
      <c r="L22" s="557">
        <f>'Resid TSM UC'!L22</f>
        <v>373.18</v>
      </c>
      <c r="M22" s="45">
        <f t="shared" si="2"/>
        <v>3240.9999999999995</v>
      </c>
      <c r="N22" s="739">
        <f>IF(IF('Resid TSM UC'!Q22&gt;Inputs!$C$20,'Resid TSM UC'!N22-'Resid TSM UC'!Q22+Inputs!$C$20,'Resid TSM UC'!N22)&lt;0,0,IF('Resid TSM UC'!Q22&gt;Inputs!$C$20,'Resid TSM UC'!N22-'Resid TSM UC'!Q22+Inputs!$C$20,'Resid TSM UC'!N22))</f>
        <v>0</v>
      </c>
      <c r="O22" s="557">
        <f>IF(N22=0,'Resid TSM UC'!O22+('Resid TSM UC'!N22-'Resid TSM UC'!Q22+Inputs!$C$20),'Resid TSM UC'!O22)</f>
        <v>2867.8199999999979</v>
      </c>
      <c r="P22" s="557">
        <f>'Resid TSM UC'!P22</f>
        <v>373.18</v>
      </c>
      <c r="Q22" s="45">
        <f t="shared" si="3"/>
        <v>3240.9999999999977</v>
      </c>
      <c r="R22" s="141"/>
      <c r="S22" s="557">
        <f>IF(R22=0,'Resid TSM UC'!S22+('Resid TSM UC'!R22-'Resid TSM UC'!U22+Inputs!$C$20),'Resid TSM UC'!S22)</f>
        <v>2227.96</v>
      </c>
      <c r="T22" s="557">
        <f>'Resid TSM UC'!T22</f>
        <v>1013.04</v>
      </c>
      <c r="U22" s="45">
        <f t="shared" si="5"/>
        <v>3241</v>
      </c>
    </row>
    <row r="23" spans="1:21">
      <c r="A23" s="153" t="s">
        <v>15</v>
      </c>
      <c r="B23" s="141"/>
      <c r="C23" s="126"/>
      <c r="D23" s="126"/>
      <c r="E23" s="45"/>
      <c r="F23" s="141"/>
      <c r="G23" s="126"/>
      <c r="H23" s="126"/>
      <c r="I23" s="45"/>
      <c r="J23" s="739">
        <f>IF(IF('Resid TSM UC'!M23&gt;Inputs!$C$20,'Resid TSM UC'!J23-'Resid TSM UC'!M23+Inputs!$C$20,'Resid TSM UC'!J23)&lt;0,0,IF('Resid TSM UC'!M23&gt;Inputs!$C$20,'Resid TSM UC'!J23-'Resid TSM UC'!M23+Inputs!$C$20,'Resid TSM UC'!J23))</f>
        <v>0</v>
      </c>
      <c r="K23" s="557">
        <f>IF(J23=0,'Resid TSM UC'!K23+('Resid TSM UC'!J23-'Resid TSM UC'!M23+Inputs!$C$20),'Resid TSM UC'!K23)</f>
        <v>2867.8199999999997</v>
      </c>
      <c r="L23" s="557">
        <f>'Resid TSM UC'!L23</f>
        <v>373.18</v>
      </c>
      <c r="M23" s="45">
        <f t="shared" si="2"/>
        <v>3240.9999999999995</v>
      </c>
      <c r="N23" s="739">
        <f>IF(IF('Resid TSM UC'!Q23&gt;Inputs!$C$20,'Resid TSM UC'!N23-'Resid TSM UC'!Q23+Inputs!$C$20,'Resid TSM UC'!N23)&lt;0,0,IF('Resid TSM UC'!Q23&gt;Inputs!$C$20,'Resid TSM UC'!N23-'Resid TSM UC'!Q23+Inputs!$C$20,'Resid TSM UC'!N23))</f>
        <v>0</v>
      </c>
      <c r="O23" s="557">
        <f>IF(N23=0,'Resid TSM UC'!O23+('Resid TSM UC'!N23-'Resid TSM UC'!Q23+Inputs!$C$20),'Resid TSM UC'!O23)</f>
        <v>2867.8199999999979</v>
      </c>
      <c r="P23" s="557">
        <f>'Resid TSM UC'!P23</f>
        <v>373.18</v>
      </c>
      <c r="Q23" s="45">
        <f t="shared" si="3"/>
        <v>3240.9999999999977</v>
      </c>
      <c r="R23" s="141"/>
      <c r="S23" s="557">
        <f>IF(R23=0,'Resid TSM UC'!S23+('Resid TSM UC'!R23-'Resid TSM UC'!U23+Inputs!$C$20),'Resid TSM UC'!S23)</f>
        <v>2227.96</v>
      </c>
      <c r="T23" s="557">
        <f>'Resid TSM UC'!T23</f>
        <v>1013.04</v>
      </c>
      <c r="U23" s="45">
        <f t="shared" si="5"/>
        <v>3241</v>
      </c>
    </row>
    <row r="24" spans="1:21">
      <c r="A24" s="153" t="s">
        <v>16</v>
      </c>
      <c r="B24" s="141"/>
      <c r="C24" s="126"/>
      <c r="D24" s="126"/>
      <c r="E24" s="45"/>
      <c r="F24" s="141"/>
      <c r="G24" s="126"/>
      <c r="H24" s="126"/>
      <c r="I24" s="45"/>
      <c r="J24" s="739">
        <f>IF(IF('Resid TSM UC'!M24&gt;Inputs!$C$20,'Resid TSM UC'!J24-'Resid TSM UC'!M24+Inputs!$C$20,'Resid TSM UC'!J24)&lt;0,0,IF('Resid TSM UC'!M24&gt;Inputs!$C$20,'Resid TSM UC'!J24-'Resid TSM UC'!M24+Inputs!$C$20,'Resid TSM UC'!J24))</f>
        <v>0</v>
      </c>
      <c r="K24" s="557">
        <f>IF(J24=0,'Resid TSM UC'!K24+('Resid TSM UC'!J24-'Resid TSM UC'!M24+Inputs!$C$20),'Resid TSM UC'!K24)</f>
        <v>2867.8200000000143</v>
      </c>
      <c r="L24" s="557">
        <f>'Resid TSM UC'!L24</f>
        <v>373.18</v>
      </c>
      <c r="M24" s="45">
        <f>SUM(J24:L24)</f>
        <v>3241.0000000000141</v>
      </c>
      <c r="N24" s="739">
        <f>IF(IF('Resid TSM UC'!Q24&gt;Inputs!$C$20,'Resid TSM UC'!N24-'Resid TSM UC'!Q24+Inputs!$C$20,'Resid TSM UC'!N24)&lt;0,0,IF('Resid TSM UC'!Q24&gt;Inputs!$C$20,'Resid TSM UC'!N24-'Resid TSM UC'!Q24+Inputs!$C$20,'Resid TSM UC'!N24))</f>
        <v>0</v>
      </c>
      <c r="O24" s="557">
        <f>IF(N24=0,'Resid TSM UC'!O24+('Resid TSM UC'!N24-'Resid TSM UC'!Q24+Inputs!$C$20),'Resid TSM UC'!O24)</f>
        <v>2867.8200000000015</v>
      </c>
      <c r="P24" s="557">
        <f>'Resid TSM UC'!P24</f>
        <v>373.18</v>
      </c>
      <c r="Q24" s="45">
        <f t="shared" si="3"/>
        <v>3241.0000000000014</v>
      </c>
      <c r="R24" s="141"/>
      <c r="S24" s="557">
        <f>IF(R24=0,'Resid TSM UC'!S24+('Resid TSM UC'!R24-'Resid TSM UC'!U24+Inputs!$C$20),'Resid TSM UC'!S24)</f>
        <v>2227.96</v>
      </c>
      <c r="T24" s="557">
        <f>'Resid TSM UC'!T24</f>
        <v>1013.04</v>
      </c>
      <c r="U24" s="45">
        <f t="shared" si="5"/>
        <v>3241</v>
      </c>
    </row>
    <row r="25" spans="1:21">
      <c r="A25" s="153" t="s">
        <v>17</v>
      </c>
      <c r="B25" s="141"/>
      <c r="C25" s="126"/>
      <c r="D25" s="126"/>
      <c r="E25" s="45"/>
      <c r="F25" s="141"/>
      <c r="G25" s="126"/>
      <c r="H25" s="126"/>
      <c r="I25" s="45"/>
      <c r="J25" s="739">
        <f>IF(IF('Resid TSM UC'!M25&gt;Inputs!$C$20,'Resid TSM UC'!J25-'Resid TSM UC'!M25+Inputs!$C$20,'Resid TSM UC'!J25)&lt;0,0,IF('Resid TSM UC'!M25&gt;Inputs!$C$20,'Resid TSM UC'!J25-'Resid TSM UC'!M25+Inputs!$C$20,'Resid TSM UC'!J25))</f>
        <v>0</v>
      </c>
      <c r="K25" s="557">
        <f>IF(J25=0,'Resid TSM UC'!K25+('Resid TSM UC'!J25-'Resid TSM UC'!M25+Inputs!$C$20),'Resid TSM UC'!K25)</f>
        <v>2867.820000000007</v>
      </c>
      <c r="L25" s="557">
        <f>'Resid TSM UC'!L25</f>
        <v>373.18</v>
      </c>
      <c r="M25" s="45">
        <f>SUM(J25:L25)</f>
        <v>3241.0000000000068</v>
      </c>
      <c r="N25" s="739">
        <f>IF(IF('Resid TSM UC'!Q25&gt;Inputs!$C$20,'Resid TSM UC'!N25-'Resid TSM UC'!Q25+Inputs!$C$20,'Resid TSM UC'!N25)&lt;0,0,IF('Resid TSM UC'!Q25&gt;Inputs!$C$20,'Resid TSM UC'!N25-'Resid TSM UC'!Q25+Inputs!$C$20,'Resid TSM UC'!N25))</f>
        <v>0</v>
      </c>
      <c r="O25" s="557">
        <f>IF(N25=0,'Resid TSM UC'!O25+('Resid TSM UC'!N25-'Resid TSM UC'!Q25+Inputs!$C$20),'Resid TSM UC'!O25)</f>
        <v>2867.8199999999997</v>
      </c>
      <c r="P25" s="557">
        <f>'Resid TSM UC'!P25</f>
        <v>373.18</v>
      </c>
      <c r="Q25" s="45">
        <f t="shared" si="3"/>
        <v>3240.9999999999995</v>
      </c>
      <c r="R25" s="141"/>
      <c r="S25" s="557">
        <f>IF(R25=0,'Resid TSM UC'!S25+('Resid TSM UC'!R25-'Resid TSM UC'!U25+Inputs!$C$20),'Resid TSM UC'!S25)</f>
        <v>2227.96</v>
      </c>
      <c r="T25" s="557">
        <f>'Resid TSM UC'!T25</f>
        <v>1013.04</v>
      </c>
      <c r="U25" s="45">
        <f t="shared" si="5"/>
        <v>3241</v>
      </c>
    </row>
    <row r="26" spans="1:21">
      <c r="A26" s="153" t="s">
        <v>18</v>
      </c>
      <c r="B26" s="141"/>
      <c r="C26" s="126"/>
      <c r="D26" s="126"/>
      <c r="E26" s="45"/>
      <c r="F26" s="141"/>
      <c r="G26" s="126"/>
      <c r="H26" s="126"/>
      <c r="I26" s="45"/>
      <c r="J26" s="739">
        <f>IF(IF('Resid TSM UC'!M26&gt;Inputs!$C$20,'Resid TSM UC'!J26-'Resid TSM UC'!M26+Inputs!$C$20,'Resid TSM UC'!J26)&lt;0,0,IF('Resid TSM UC'!M26&gt;Inputs!$C$20,'Resid TSM UC'!J26-'Resid TSM UC'!M26+Inputs!$C$20,'Resid TSM UC'!J26))</f>
        <v>0</v>
      </c>
      <c r="K26" s="557">
        <f>IF(J26=0,'Resid TSM UC'!K26+('Resid TSM UC'!J26-'Resid TSM UC'!M26+Inputs!$C$20),'Resid TSM UC'!K26)</f>
        <v>2867.8199999999997</v>
      </c>
      <c r="L26" s="557">
        <f>'Resid TSM UC'!L26</f>
        <v>373.18</v>
      </c>
      <c r="M26" s="45">
        <f>SUM(J26:L26)</f>
        <v>3240.9999999999995</v>
      </c>
      <c r="N26" s="739">
        <f>IF(IF('Resid TSM UC'!Q26&gt;Inputs!$C$20,'Resid TSM UC'!N26-'Resid TSM UC'!Q26+Inputs!$C$20,'Resid TSM UC'!N26)&lt;0,0,IF('Resid TSM UC'!Q26&gt;Inputs!$C$20,'Resid TSM UC'!N26-'Resid TSM UC'!Q26+Inputs!$C$20,'Resid TSM UC'!N26))</f>
        <v>0</v>
      </c>
      <c r="O26" s="557">
        <f>IF(N26=0,'Resid TSM UC'!O26+('Resid TSM UC'!N26-'Resid TSM UC'!Q26+Inputs!$C$20),'Resid TSM UC'!O26)</f>
        <v>2867.8200000000033</v>
      </c>
      <c r="P26" s="557">
        <f>'Resid TSM UC'!P26</f>
        <v>373.18</v>
      </c>
      <c r="Q26" s="45">
        <f t="shared" si="3"/>
        <v>3241.0000000000032</v>
      </c>
      <c r="R26" s="141"/>
      <c r="S26" s="557">
        <f>IF(R26=0,'Resid TSM UC'!S26+('Resid TSM UC'!R26-'Resid TSM UC'!U26+Inputs!$C$20),'Resid TSM UC'!S26)</f>
        <v>2227.96</v>
      </c>
      <c r="T26" s="557">
        <f>'Resid TSM UC'!T26</f>
        <v>1013.04</v>
      </c>
      <c r="U26" s="45">
        <f t="shared" si="5"/>
        <v>3241</v>
      </c>
    </row>
    <row r="27" spans="1:21">
      <c r="A27" s="153" t="s">
        <v>19</v>
      </c>
      <c r="B27" s="141"/>
      <c r="C27" s="126"/>
      <c r="D27" s="126"/>
      <c r="E27" s="45"/>
      <c r="F27" s="141"/>
      <c r="G27" s="126"/>
      <c r="H27" s="126"/>
      <c r="I27" s="45"/>
      <c r="J27" s="739">
        <f>IF(IF('Resid TSM UC'!M27&gt;Inputs!$C$20,'Resid TSM UC'!J27-'Resid TSM UC'!M27+Inputs!$C$20,'Resid TSM UC'!J27)&lt;0,0,IF('Resid TSM UC'!M27&gt;Inputs!$C$20,'Resid TSM UC'!J27-'Resid TSM UC'!M27+Inputs!$C$20,'Resid TSM UC'!J27))</f>
        <v>0</v>
      </c>
      <c r="K27" s="557">
        <f>IF(J27=0,'Resid TSM UC'!K27+('Resid TSM UC'!J27-'Resid TSM UC'!M27+Inputs!$C$20),'Resid TSM UC'!K27)</f>
        <v>2867.8199999999997</v>
      </c>
      <c r="L27" s="557">
        <f>'Resid TSM UC'!L27</f>
        <v>373.18</v>
      </c>
      <c r="M27" s="45">
        <f>SUM(J27:L27)</f>
        <v>3240.9999999999995</v>
      </c>
      <c r="N27" s="739">
        <f>IF(IF('Resid TSM UC'!Q27&gt;Inputs!$C$20,'Resid TSM UC'!N27-'Resid TSM UC'!Q27+Inputs!$C$20,'Resid TSM UC'!N27)&lt;0,0,IF('Resid TSM UC'!Q27&gt;Inputs!$C$20,'Resid TSM UC'!N27-'Resid TSM UC'!Q27+Inputs!$C$20,'Resid TSM UC'!N27))</f>
        <v>0</v>
      </c>
      <c r="O27" s="557">
        <f>IF(N27=0,'Resid TSM UC'!O27+('Resid TSM UC'!N27-'Resid TSM UC'!Q27+Inputs!$C$20),'Resid TSM UC'!O27)</f>
        <v>2867.8200000000106</v>
      </c>
      <c r="P27" s="557">
        <f>'Resid TSM UC'!P27</f>
        <v>373.18</v>
      </c>
      <c r="Q27" s="45">
        <f t="shared" si="3"/>
        <v>3241.0000000000105</v>
      </c>
      <c r="R27" s="141"/>
      <c r="S27" s="557">
        <f>IF(R27=0,'Resid TSM UC'!S27+('Resid TSM UC'!R27-'Resid TSM UC'!U27+Inputs!$C$20),'Resid TSM UC'!S27)</f>
        <v>2227.96</v>
      </c>
      <c r="T27" s="557">
        <f>'Resid TSM UC'!T27</f>
        <v>1013.04</v>
      </c>
      <c r="U27" s="45">
        <f t="shared" si="5"/>
        <v>3241</v>
      </c>
    </row>
    <row r="28" spans="1:21">
      <c r="A28" s="153" t="s">
        <v>20</v>
      </c>
      <c r="B28" s="141"/>
      <c r="C28" s="126"/>
      <c r="D28" s="126"/>
      <c r="E28" s="45"/>
      <c r="F28" s="141"/>
      <c r="G28" s="126"/>
      <c r="H28" s="126"/>
      <c r="I28" s="45"/>
      <c r="J28" s="739">
        <f>IF(IF('Resid TSM UC'!M28&gt;Inputs!$C$20,'Resid TSM UC'!J28-'Resid TSM UC'!M28+Inputs!$C$20,'Resid TSM UC'!J28)&lt;0,0,IF('Resid TSM UC'!M28&gt;Inputs!$C$20,'Resid TSM UC'!J28-'Resid TSM UC'!M28+Inputs!$C$20,'Resid TSM UC'!J28))</f>
        <v>0</v>
      </c>
      <c r="K28" s="557">
        <f>IF(J28=0,'Resid TSM UC'!K28+('Resid TSM UC'!J28-'Resid TSM UC'!M28+Inputs!$C$20),'Resid TSM UC'!K28)</f>
        <v>2867.8199999999997</v>
      </c>
      <c r="L28" s="557">
        <f>'Resid TSM UC'!L28</f>
        <v>373.18</v>
      </c>
      <c r="M28" s="45">
        <f>SUM(J28:L28)</f>
        <v>3240.9999999999995</v>
      </c>
      <c r="N28" s="739">
        <f>IF(IF('Resid TSM UC'!Q28&gt;Inputs!$C$20,'Resid TSM UC'!N28-'Resid TSM UC'!Q28+Inputs!$C$20,'Resid TSM UC'!N28)&lt;0,0,IF('Resid TSM UC'!Q28&gt;Inputs!$C$20,'Resid TSM UC'!N28-'Resid TSM UC'!Q28+Inputs!$C$20,'Resid TSM UC'!N28))</f>
        <v>0</v>
      </c>
      <c r="O28" s="557">
        <f>IF(N28=0,'Resid TSM UC'!O28+('Resid TSM UC'!N28-'Resid TSM UC'!Q28+Inputs!$C$20),'Resid TSM UC'!O28)</f>
        <v>2867.820000000007</v>
      </c>
      <c r="P28" s="557">
        <f>'Resid TSM UC'!P28</f>
        <v>373.18</v>
      </c>
      <c r="Q28" s="45">
        <f t="shared" si="3"/>
        <v>3241.0000000000068</v>
      </c>
      <c r="R28" s="141"/>
      <c r="S28" s="557">
        <f>IF(R28=0,'Resid TSM UC'!S28+('Resid TSM UC'!R28-'Resid TSM UC'!U28+Inputs!$C$20),'Resid TSM UC'!S28)</f>
        <v>2227.96</v>
      </c>
      <c r="T28" s="557">
        <f>'Resid TSM UC'!T28</f>
        <v>1013.04</v>
      </c>
      <c r="U28" s="45">
        <f t="shared" si="5"/>
        <v>3241</v>
      </c>
    </row>
    <row r="29" spans="1:21">
      <c r="A29" s="153" t="s">
        <v>21</v>
      </c>
      <c r="B29" s="141"/>
      <c r="C29" s="126"/>
      <c r="D29" s="126"/>
      <c r="E29" s="45"/>
      <c r="F29" s="141"/>
      <c r="G29" s="126"/>
      <c r="H29" s="126"/>
      <c r="I29" s="45"/>
      <c r="J29" s="141"/>
      <c r="K29" s="126"/>
      <c r="L29" s="126"/>
      <c r="M29" s="45"/>
      <c r="N29" s="739">
        <f>IF(IF('Resid TSM UC'!Q29&gt;Inputs!$C$20,'Resid TSM UC'!N29-'Resid TSM UC'!Q29+Inputs!$C$20,'Resid TSM UC'!N29)&lt;0,0,IF('Resid TSM UC'!Q29&gt;Inputs!$C$20,'Resid TSM UC'!N29-'Resid TSM UC'!Q29+Inputs!$C$20,'Resid TSM UC'!N29))</f>
        <v>0</v>
      </c>
      <c r="O29" s="557">
        <f>IF(N29=0,'Resid TSM UC'!O29+('Resid TSM UC'!N29-'Resid TSM UC'!Q29+Inputs!$C$20),'Resid TSM UC'!O29)</f>
        <v>2867.820000000007</v>
      </c>
      <c r="P29" s="557">
        <f>'Resid TSM UC'!P29</f>
        <v>373.18</v>
      </c>
      <c r="Q29" s="45">
        <f t="shared" si="3"/>
        <v>3241.0000000000068</v>
      </c>
      <c r="R29" s="141"/>
      <c r="S29" s="557">
        <f>IF(R29=0,'Resid TSM UC'!S29+('Resid TSM UC'!R29-'Resid TSM UC'!U29+Inputs!$C$20),'Resid TSM UC'!S29)</f>
        <v>2227.96</v>
      </c>
      <c r="T29" s="557">
        <f>'Resid TSM UC'!T29</f>
        <v>1013.04</v>
      </c>
      <c r="U29" s="45">
        <f t="shared" si="5"/>
        <v>3241</v>
      </c>
    </row>
    <row r="30" spans="1:21">
      <c r="A30" s="153" t="s">
        <v>22</v>
      </c>
      <c r="B30" s="141"/>
      <c r="C30" s="126"/>
      <c r="D30" s="126"/>
      <c r="E30" s="45"/>
      <c r="F30" s="141"/>
      <c r="G30" s="126"/>
      <c r="H30" s="23"/>
      <c r="I30" s="45"/>
      <c r="J30" s="141"/>
      <c r="K30" s="23"/>
      <c r="L30" s="23"/>
      <c r="M30" s="45"/>
      <c r="N30" s="739">
        <f>IF(IF('Resid TSM UC'!Q30&gt;Inputs!$C$20,'Resid TSM UC'!N30-'Resid TSM UC'!Q30+Inputs!$C$20,'Resid TSM UC'!N30)&lt;0,0,IF('Resid TSM UC'!Q30&gt;Inputs!$C$20,'Resid TSM UC'!N30-'Resid TSM UC'!Q30+Inputs!$C$20,'Resid TSM UC'!N30))</f>
        <v>0</v>
      </c>
      <c r="O30" s="557">
        <f>IF(N30=0,'Resid TSM UC'!O30+('Resid TSM UC'!N30-'Resid TSM UC'!Q30+Inputs!$C$20),'Resid TSM UC'!O30)</f>
        <v>2867.820000000007</v>
      </c>
      <c r="P30" s="557">
        <f>'Resid TSM UC'!P30</f>
        <v>373.18</v>
      </c>
      <c r="Q30" s="45">
        <f t="shared" si="3"/>
        <v>3241.0000000000068</v>
      </c>
      <c r="R30" s="141"/>
      <c r="S30" s="557">
        <f>IF(R30=0,'Resid TSM UC'!S30+('Resid TSM UC'!R30-'Resid TSM UC'!U30+Inputs!$C$20),'Resid TSM UC'!S30)</f>
        <v>2227.96</v>
      </c>
      <c r="T30" s="557">
        <f>'Resid TSM UC'!T30</f>
        <v>1013.04</v>
      </c>
      <c r="U30" s="45">
        <f t="shared" si="5"/>
        <v>3241</v>
      </c>
    </row>
    <row r="31" spans="1:21">
      <c r="A31" s="153" t="s">
        <v>23</v>
      </c>
      <c r="B31" s="141"/>
      <c r="C31" s="126"/>
      <c r="D31" s="126"/>
      <c r="E31" s="45"/>
      <c r="F31" s="141"/>
      <c r="G31" s="126"/>
      <c r="H31" s="23"/>
      <c r="I31" s="45"/>
      <c r="J31" s="141"/>
      <c r="K31" s="23"/>
      <c r="L31" s="23"/>
      <c r="M31" s="45"/>
      <c r="N31" s="141"/>
      <c r="O31" s="126"/>
      <c r="P31" s="126"/>
      <c r="Q31" s="45"/>
      <c r="R31" s="141"/>
      <c r="S31" s="126"/>
      <c r="T31" s="126"/>
      <c r="U31" s="45"/>
    </row>
    <row r="32" spans="1:21">
      <c r="A32" s="153" t="s">
        <v>24</v>
      </c>
      <c r="B32" s="141"/>
      <c r="C32" s="126"/>
      <c r="D32" s="126"/>
      <c r="E32" s="45"/>
      <c r="F32" s="141"/>
      <c r="G32" s="126"/>
      <c r="H32" s="23"/>
      <c r="I32" s="45"/>
      <c r="J32" s="141"/>
      <c r="K32" s="23"/>
      <c r="L32" s="23"/>
      <c r="M32" s="45"/>
      <c r="N32" s="141"/>
      <c r="O32" s="126"/>
      <c r="P32" s="126"/>
      <c r="Q32" s="45"/>
      <c r="R32" s="141"/>
      <c r="S32" s="126"/>
      <c r="T32" s="126"/>
      <c r="U32" s="45"/>
    </row>
    <row r="33" spans="1:21">
      <c r="A33" s="153" t="s">
        <v>25</v>
      </c>
      <c r="B33" s="141"/>
      <c r="C33" s="126"/>
      <c r="D33" s="126"/>
      <c r="E33" s="45"/>
      <c r="F33" s="141"/>
      <c r="G33" s="126"/>
      <c r="H33" s="23"/>
      <c r="I33" s="45"/>
      <c r="J33" s="141"/>
      <c r="K33" s="23"/>
      <c r="L33" s="23"/>
      <c r="M33" s="45"/>
      <c r="N33" s="141"/>
      <c r="O33" s="126"/>
      <c r="P33" s="126"/>
      <c r="Q33" s="45"/>
      <c r="R33" s="141"/>
      <c r="S33" s="126"/>
      <c r="T33" s="126"/>
      <c r="U33" s="45"/>
    </row>
    <row r="34" spans="1:21">
      <c r="A34" s="153" t="s">
        <v>125</v>
      </c>
      <c r="B34" s="141"/>
      <c r="C34" s="126"/>
      <c r="D34" s="126"/>
      <c r="E34" s="45"/>
      <c r="F34" s="141"/>
      <c r="G34" s="126"/>
      <c r="H34" s="23"/>
      <c r="I34" s="45"/>
      <c r="J34" s="137"/>
      <c r="K34" s="23"/>
      <c r="L34" s="23"/>
      <c r="M34" s="45"/>
      <c r="N34" s="141"/>
      <c r="O34" s="126"/>
      <c r="P34" s="126"/>
      <c r="Q34" s="24"/>
      <c r="R34" s="141"/>
      <c r="S34" s="126"/>
      <c r="T34" s="126"/>
      <c r="U34" s="45"/>
    </row>
    <row r="35" spans="1:21">
      <c r="A35" s="153" t="s">
        <v>126</v>
      </c>
      <c r="B35" s="141"/>
      <c r="C35" s="126"/>
      <c r="D35" s="23"/>
      <c r="E35" s="45"/>
      <c r="F35" s="141"/>
      <c r="G35" s="126"/>
      <c r="H35" s="23"/>
      <c r="I35" s="45"/>
      <c r="J35" s="137"/>
      <c r="K35" s="23"/>
      <c r="L35" s="23"/>
      <c r="M35" s="45"/>
      <c r="N35" s="141"/>
      <c r="O35" s="126"/>
      <c r="P35" s="23"/>
      <c r="Q35" s="14"/>
      <c r="R35" s="141"/>
      <c r="S35" s="126"/>
      <c r="T35" s="126"/>
      <c r="U35" s="45"/>
    </row>
    <row r="36" spans="1:21">
      <c r="A36" s="153" t="s">
        <v>26</v>
      </c>
      <c r="B36" s="141"/>
      <c r="C36" s="126"/>
      <c r="D36" s="23"/>
      <c r="E36" s="45"/>
      <c r="F36" s="141"/>
      <c r="G36" s="126"/>
      <c r="H36" s="23"/>
      <c r="I36" s="45"/>
      <c r="J36" s="137"/>
      <c r="K36" s="23"/>
      <c r="L36" s="23"/>
      <c r="M36" s="45"/>
      <c r="N36" s="141"/>
      <c r="O36" s="126"/>
      <c r="P36" s="23"/>
      <c r="Q36" s="14"/>
      <c r="R36" s="141"/>
      <c r="S36" s="126"/>
      <c r="T36" s="126"/>
      <c r="U36" s="45"/>
    </row>
    <row r="37" spans="1:21">
      <c r="A37" s="153" t="s">
        <v>27</v>
      </c>
      <c r="B37" s="141"/>
      <c r="C37" s="126"/>
      <c r="D37" s="13"/>
      <c r="E37" s="14"/>
      <c r="F37" s="141"/>
      <c r="G37" s="126"/>
      <c r="H37" s="13"/>
      <c r="I37" s="14"/>
      <c r="J37" s="135"/>
      <c r="K37" s="13"/>
      <c r="L37" s="13"/>
      <c r="M37" s="14"/>
      <c r="N37" s="141"/>
      <c r="O37" s="126"/>
      <c r="P37" s="13"/>
      <c r="Q37" s="14"/>
      <c r="R37" s="141"/>
      <c r="S37" s="126"/>
      <c r="T37" s="126"/>
      <c r="U37" s="45"/>
    </row>
    <row r="38" spans="1:21" ht="13.5" thickBot="1">
      <c r="A38" s="243"/>
      <c r="B38" s="15"/>
      <c r="C38" s="32"/>
      <c r="D38" s="32"/>
      <c r="E38" s="106"/>
      <c r="F38" s="15"/>
      <c r="G38" s="32"/>
      <c r="H38" s="32"/>
      <c r="I38" s="106"/>
      <c r="J38" s="15"/>
      <c r="K38" s="32"/>
      <c r="L38" s="32"/>
      <c r="M38" s="106"/>
      <c r="N38" s="274"/>
      <c r="O38" s="275"/>
      <c r="P38" s="32"/>
      <c r="Q38" s="106"/>
      <c r="R38" s="274"/>
      <c r="S38" s="275"/>
      <c r="T38" s="32"/>
      <c r="U38" s="106"/>
    </row>
    <row r="39" spans="1:21">
      <c r="A39" s="149"/>
      <c r="B39" s="320"/>
      <c r="C39" s="320"/>
      <c r="D39" s="320"/>
      <c r="E39" s="320"/>
      <c r="F39" s="320"/>
      <c r="G39" s="320"/>
      <c r="H39" s="320"/>
      <c r="I39" s="320"/>
      <c r="J39" s="320"/>
      <c r="K39" s="320"/>
      <c r="L39" s="320"/>
      <c r="M39" s="320"/>
      <c r="N39" s="320"/>
      <c r="O39" s="320"/>
      <c r="P39" s="320"/>
      <c r="Q39" s="320"/>
      <c r="R39" s="320"/>
      <c r="S39" s="320"/>
      <c r="T39" s="320"/>
      <c r="U39" s="575"/>
    </row>
    <row r="40" spans="1:21">
      <c r="A40" s="33" t="s">
        <v>376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01"/>
    </row>
    <row r="41" spans="1:21">
      <c r="A41" s="33"/>
      <c r="B41" s="600" t="s">
        <v>491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01"/>
    </row>
    <row r="42" spans="1:21" ht="13.5" thickBot="1">
      <c r="A42" s="15"/>
      <c r="B42" s="597" t="s">
        <v>375</v>
      </c>
      <c r="C42" s="583"/>
      <c r="D42" s="583"/>
      <c r="E42" s="583"/>
      <c r="F42" s="585"/>
      <c r="G42" s="585"/>
      <c r="H42" s="585"/>
      <c r="I42" s="585"/>
      <c r="J42" s="583"/>
      <c r="K42" s="583"/>
      <c r="L42" s="583"/>
      <c r="M42" s="583"/>
      <c r="N42" s="583"/>
      <c r="O42" s="583"/>
      <c r="P42" s="583"/>
      <c r="Q42" s="583"/>
      <c r="R42" s="583"/>
      <c r="S42" s="583"/>
      <c r="T42" s="583"/>
      <c r="U42" s="586"/>
    </row>
    <row r="43" spans="1:21">
      <c r="B43" s="544"/>
      <c r="C43" s="544"/>
      <c r="D43" s="544"/>
      <c r="E43" s="544"/>
      <c r="F43" s="468"/>
      <c r="G43" s="468"/>
      <c r="H43" s="468"/>
      <c r="I43" s="468"/>
      <c r="J43" s="544"/>
      <c r="K43" s="544"/>
      <c r="L43" s="544"/>
      <c r="M43" s="544"/>
      <c r="N43" s="544"/>
      <c r="O43" s="544"/>
      <c r="P43" s="544"/>
      <c r="Q43" s="544"/>
      <c r="R43" s="544"/>
      <c r="S43" s="544"/>
      <c r="T43" s="544"/>
      <c r="U43" s="544"/>
    </row>
    <row r="44" spans="1:21">
      <c r="B44" s="544"/>
      <c r="C44" s="544"/>
      <c r="D44" s="544"/>
      <c r="E44" s="544"/>
      <c r="F44" s="468"/>
      <c r="G44" s="468"/>
      <c r="H44" s="468"/>
      <c r="I44" s="468"/>
      <c r="J44" s="544"/>
      <c r="K44" s="544"/>
      <c r="L44" s="544"/>
      <c r="M44" s="544"/>
      <c r="N44" s="544"/>
      <c r="O44" s="544"/>
      <c r="P44" s="544"/>
      <c r="Q44" s="544"/>
      <c r="R44" s="544"/>
      <c r="S44" s="544"/>
      <c r="T44" s="544"/>
      <c r="U44" s="544"/>
    </row>
    <row r="45" spans="1:21">
      <c r="B45" s="544"/>
      <c r="C45" s="544"/>
      <c r="D45" s="544"/>
      <c r="E45" s="544"/>
      <c r="F45" s="468"/>
      <c r="G45" s="468"/>
      <c r="H45" s="468"/>
      <c r="I45" s="468"/>
      <c r="J45" s="544"/>
      <c r="K45" s="544"/>
      <c r="L45" s="544"/>
      <c r="M45" s="544"/>
      <c r="N45" s="544"/>
      <c r="O45" s="544"/>
      <c r="P45" s="544"/>
      <c r="Q45" s="544"/>
      <c r="R45" s="544"/>
      <c r="S45" s="544"/>
      <c r="T45" s="544"/>
      <c r="U45" s="544"/>
    </row>
    <row r="46" spans="1:21">
      <c r="B46" s="544"/>
      <c r="C46" s="544"/>
      <c r="D46" s="544"/>
      <c r="E46" s="544"/>
      <c r="F46" s="468"/>
      <c r="G46" s="468"/>
      <c r="H46" s="468"/>
      <c r="I46" s="468"/>
      <c r="J46" s="544"/>
      <c r="K46" s="544"/>
      <c r="L46" s="544"/>
      <c r="M46" s="544"/>
      <c r="N46" s="544"/>
      <c r="O46" s="544"/>
      <c r="P46" s="544"/>
      <c r="Q46" s="544"/>
      <c r="R46" s="544"/>
      <c r="S46" s="544"/>
      <c r="T46" s="544"/>
      <c r="U46" s="544"/>
    </row>
    <row r="47" spans="1:21">
      <c r="B47" s="544"/>
      <c r="C47" s="544"/>
      <c r="D47" s="544"/>
      <c r="E47" s="544"/>
      <c r="F47" s="468"/>
      <c r="G47" s="468"/>
      <c r="H47" s="468"/>
      <c r="I47" s="468"/>
      <c r="J47" s="544"/>
      <c r="K47" s="544"/>
      <c r="L47" s="544"/>
      <c r="M47" s="544"/>
      <c r="N47" s="544"/>
      <c r="O47" s="544"/>
      <c r="P47" s="544"/>
      <c r="Q47" s="544"/>
      <c r="R47" s="544"/>
      <c r="S47" s="544"/>
      <c r="T47" s="544"/>
      <c r="U47" s="544"/>
    </row>
    <row r="48" spans="1:21">
      <c r="B48" s="544"/>
      <c r="C48" s="544"/>
      <c r="D48" s="544"/>
      <c r="E48" s="544"/>
      <c r="F48" s="468"/>
      <c r="G48" s="468"/>
      <c r="H48" s="468"/>
      <c r="I48" s="468"/>
      <c r="J48" s="544"/>
      <c r="K48" s="544"/>
      <c r="L48" s="544"/>
      <c r="M48" s="544"/>
      <c r="N48" s="544"/>
      <c r="O48" s="544"/>
      <c r="P48" s="544"/>
      <c r="Q48" s="544"/>
      <c r="R48" s="544"/>
      <c r="S48" s="544"/>
      <c r="T48" s="544"/>
      <c r="U48" s="544"/>
    </row>
    <row r="49" spans="2:21">
      <c r="B49" s="544"/>
      <c r="C49" s="544"/>
      <c r="D49" s="544"/>
      <c r="E49" s="544"/>
      <c r="F49" s="468"/>
      <c r="G49" s="468"/>
      <c r="H49" s="468"/>
      <c r="I49" s="468"/>
      <c r="J49" s="544"/>
      <c r="K49" s="544"/>
      <c r="L49" s="544"/>
      <c r="M49" s="544"/>
      <c r="N49" s="544"/>
      <c r="O49" s="544"/>
      <c r="P49" s="544"/>
      <c r="Q49" s="544"/>
      <c r="R49" s="544"/>
      <c r="S49" s="544"/>
      <c r="T49" s="544"/>
      <c r="U49" s="544"/>
    </row>
    <row r="50" spans="2:21">
      <c r="B50" s="544"/>
      <c r="C50" s="544"/>
      <c r="D50" s="544"/>
      <c r="E50" s="544"/>
      <c r="F50" s="468"/>
      <c r="G50" s="468"/>
      <c r="H50" s="468"/>
      <c r="I50" s="468"/>
      <c r="J50" s="544"/>
      <c r="K50" s="544"/>
      <c r="L50" s="544"/>
      <c r="M50" s="544"/>
      <c r="N50" s="544"/>
      <c r="O50" s="544"/>
      <c r="P50" s="544"/>
      <c r="Q50" s="544"/>
      <c r="R50" s="544"/>
      <c r="S50" s="544"/>
      <c r="T50" s="544"/>
      <c r="U50" s="544"/>
    </row>
    <row r="51" spans="2:21">
      <c r="F51" s="468"/>
      <c r="G51" s="468"/>
      <c r="H51" s="468"/>
      <c r="I51" s="468"/>
      <c r="J51" s="544"/>
      <c r="K51" s="544"/>
      <c r="L51" s="544"/>
      <c r="M51" s="544"/>
      <c r="N51" s="544"/>
      <c r="O51" s="544"/>
      <c r="P51" s="544"/>
      <c r="Q51" s="544"/>
      <c r="R51" s="544"/>
      <c r="S51" s="544"/>
      <c r="T51" s="544"/>
      <c r="U51" s="544"/>
    </row>
    <row r="52" spans="2:21">
      <c r="F52" s="468"/>
      <c r="G52" s="468"/>
      <c r="H52" s="468"/>
      <c r="I52" s="468"/>
      <c r="J52" s="544"/>
      <c r="K52" s="544"/>
      <c r="L52" s="544"/>
      <c r="M52" s="544"/>
      <c r="N52" s="544"/>
      <c r="O52" s="544"/>
      <c r="P52" s="544"/>
      <c r="Q52" s="544"/>
      <c r="R52" s="544"/>
      <c r="S52" s="544"/>
      <c r="T52" s="544"/>
      <c r="U52" s="544"/>
    </row>
    <row r="53" spans="2:21">
      <c r="J53" s="544"/>
      <c r="K53" s="544"/>
      <c r="L53" s="544"/>
      <c r="M53" s="544"/>
      <c r="N53" s="544"/>
      <c r="O53" s="544"/>
      <c r="P53" s="544"/>
      <c r="Q53" s="544"/>
      <c r="R53" s="544"/>
      <c r="S53" s="544"/>
      <c r="T53" s="544"/>
      <c r="U53" s="544"/>
    </row>
    <row r="54" spans="2:21">
      <c r="J54" s="544"/>
      <c r="K54" s="544"/>
      <c r="L54" s="544"/>
      <c r="M54" s="544"/>
      <c r="N54" s="544"/>
      <c r="O54" s="544"/>
      <c r="P54" s="544"/>
      <c r="Q54" s="544"/>
      <c r="R54" s="544"/>
      <c r="S54" s="544"/>
      <c r="T54" s="544"/>
      <c r="U54" s="544"/>
    </row>
    <row r="55" spans="2:21">
      <c r="J55" s="544"/>
      <c r="K55" s="544"/>
      <c r="L55" s="544"/>
      <c r="M55" s="544"/>
      <c r="N55" s="544"/>
      <c r="O55" s="544"/>
      <c r="P55" s="544"/>
      <c r="Q55" s="544"/>
      <c r="R55" s="544"/>
      <c r="S55" s="544"/>
      <c r="T55" s="544"/>
      <c r="U55" s="544"/>
    </row>
    <row r="56" spans="2:21">
      <c r="J56" s="544"/>
      <c r="K56" s="544"/>
      <c r="L56" s="544"/>
      <c r="M56" s="544"/>
      <c r="N56" s="544"/>
      <c r="O56" s="544"/>
      <c r="P56" s="544"/>
      <c r="Q56" s="544"/>
      <c r="R56" s="544"/>
      <c r="S56" s="544"/>
      <c r="T56" s="544"/>
      <c r="U56" s="544"/>
    </row>
    <row r="57" spans="2:21">
      <c r="J57" s="544"/>
      <c r="K57" s="544"/>
      <c r="L57" s="544"/>
      <c r="M57" s="544"/>
      <c r="N57" s="544"/>
      <c r="O57" s="544"/>
      <c r="P57" s="544"/>
      <c r="Q57" s="544"/>
      <c r="R57" s="544"/>
      <c r="S57" s="544"/>
      <c r="T57" s="544"/>
      <c r="U57" s="544"/>
    </row>
    <row r="58" spans="2:21">
      <c r="J58" s="544"/>
      <c r="K58" s="544"/>
      <c r="L58" s="544"/>
      <c r="M58" s="544"/>
      <c r="N58" s="544"/>
      <c r="O58" s="544"/>
      <c r="P58" s="544"/>
      <c r="Q58" s="544"/>
      <c r="R58" s="544"/>
      <c r="S58" s="544"/>
      <c r="T58" s="544"/>
      <c r="U58" s="544"/>
    </row>
    <row r="59" spans="2:21">
      <c r="J59" s="544"/>
      <c r="K59" s="544"/>
      <c r="L59" s="544"/>
      <c r="M59" s="544"/>
      <c r="N59" s="544"/>
      <c r="O59" s="544"/>
      <c r="P59" s="544"/>
      <c r="Q59" s="544"/>
      <c r="R59" s="544"/>
      <c r="S59" s="544"/>
      <c r="T59" s="544"/>
      <c r="U59" s="544"/>
    </row>
    <row r="60" spans="2:21">
      <c r="J60" s="544"/>
      <c r="K60" s="544"/>
      <c r="L60" s="544"/>
      <c r="M60" s="544"/>
      <c r="N60" s="544"/>
      <c r="O60" s="544"/>
      <c r="P60" s="544"/>
      <c r="Q60" s="544"/>
      <c r="R60" s="544"/>
      <c r="S60" s="544"/>
      <c r="T60" s="544"/>
      <c r="U60" s="544"/>
    </row>
    <row r="61" spans="2:21">
      <c r="J61" s="544"/>
      <c r="K61" s="544"/>
      <c r="L61" s="544"/>
      <c r="M61" s="544"/>
      <c r="N61" s="544"/>
      <c r="O61" s="544"/>
      <c r="P61" s="544"/>
      <c r="Q61" s="544"/>
      <c r="R61" s="544"/>
      <c r="S61" s="544"/>
      <c r="T61" s="544"/>
      <c r="U61" s="544"/>
    </row>
    <row r="62" spans="2:21">
      <c r="J62" s="544"/>
      <c r="K62" s="544"/>
      <c r="L62" s="544"/>
      <c r="M62" s="544"/>
      <c r="N62" s="544"/>
      <c r="O62" s="544"/>
      <c r="P62" s="544"/>
      <c r="Q62" s="544"/>
      <c r="R62" s="544"/>
      <c r="S62" s="544"/>
      <c r="T62" s="544"/>
      <c r="U62" s="544"/>
    </row>
    <row r="63" spans="2:21">
      <c r="J63" s="544"/>
      <c r="K63" s="544"/>
      <c r="L63" s="544"/>
      <c r="M63" s="544"/>
      <c r="N63" s="544"/>
      <c r="O63" s="544"/>
      <c r="P63" s="544"/>
      <c r="Q63" s="544"/>
      <c r="R63" s="544"/>
      <c r="S63" s="544"/>
      <c r="T63" s="544"/>
      <c r="U63" s="544"/>
    </row>
    <row r="64" spans="2:21">
      <c r="N64" s="544"/>
      <c r="O64" s="544"/>
      <c r="P64" s="544"/>
      <c r="Q64" s="544"/>
      <c r="R64" s="544"/>
      <c r="S64" s="544"/>
      <c r="T64" s="544"/>
      <c r="U64" s="544"/>
    </row>
    <row r="65" spans="17:17">
      <c r="Q65" s="543"/>
    </row>
    <row r="66" spans="17:17">
      <c r="Q66" s="543"/>
    </row>
    <row r="67" spans="17:17">
      <c r="Q67" s="543"/>
    </row>
  </sheetData>
  <mergeCells count="8">
    <mergeCell ref="A1:Q1"/>
    <mergeCell ref="B2:Q2"/>
    <mergeCell ref="R2:U2"/>
    <mergeCell ref="B3:E3"/>
    <mergeCell ref="F3:I3"/>
    <mergeCell ref="J3:M3"/>
    <mergeCell ref="N3:Q3"/>
    <mergeCell ref="R3:U3"/>
  </mergeCells>
  <printOptions horizontalCentered="1"/>
  <pageMargins left="0.75" right="0.75" top="1" bottom="1" header="0.5" footer="0.5"/>
  <pageSetup scale="30" orientation="portrait" r:id="rId1"/>
  <headerFooter alignWithMargins="0">
    <oddFooter>&amp;L&amp;F
&amp;A&amp;R&amp;P of &amp;N</oddFooter>
  </headerFooter>
  <colBreaks count="1" manualBreakCount="1">
    <brk id="17" max="41" man="1"/>
  </colBreaks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500-000000000000}">
  <sheetPr codeName="Sheet69"/>
  <dimension ref="A1:AO39"/>
  <sheetViews>
    <sheetView zoomScale="70" zoomScaleNormal="70" workbookViewId="0">
      <pane xSplit="1" ySplit="5" topLeftCell="B6" activePane="bottomRight" state="frozen"/>
      <selection activeCell="D15" sqref="D15"/>
      <selection pane="topRight" activeCell="D15" sqref="D15"/>
      <selection pane="bottomLeft" activeCell="D15" sqref="D15"/>
      <selection pane="bottomRight" activeCell="J32" sqref="J32"/>
    </sheetView>
  </sheetViews>
  <sheetFormatPr defaultRowHeight="12.75"/>
  <cols>
    <col min="1" max="1" width="33" bestFit="1" customWidth="1"/>
    <col min="2" max="2" width="18" customWidth="1"/>
    <col min="3" max="4" width="13.140625" bestFit="1" customWidth="1"/>
    <col min="5" max="5" width="14.28515625" bestFit="1" customWidth="1"/>
    <col min="6" max="9" width="12.85546875" customWidth="1"/>
    <col min="10" max="10" width="14.5703125" customWidth="1"/>
    <col min="11" max="11" width="12" bestFit="1" customWidth="1"/>
    <col min="12" max="12" width="17.28515625" bestFit="1" customWidth="1"/>
    <col min="13" max="14" width="15.85546875" customWidth="1"/>
    <col min="15" max="15" width="13.5703125" bestFit="1" customWidth="1"/>
    <col min="16" max="16" width="12.85546875" bestFit="1" customWidth="1"/>
    <col min="17" max="17" width="12.85546875" customWidth="1"/>
    <col min="18" max="18" width="15.42578125" bestFit="1" customWidth="1"/>
    <col min="19" max="19" width="19.140625" customWidth="1"/>
    <col min="20" max="20" width="14.85546875" customWidth="1"/>
    <col min="21" max="21" width="12" customWidth="1"/>
    <col min="22" max="23" width="13.5703125" customWidth="1"/>
    <col min="24" max="25" width="12" bestFit="1" customWidth="1"/>
    <col min="26" max="26" width="12" customWidth="1"/>
    <col min="27" max="33" width="15" customWidth="1"/>
    <col min="34" max="34" width="14.5703125" bestFit="1" customWidth="1"/>
    <col min="35" max="35" width="2.5703125" customWidth="1"/>
    <col min="36" max="36" width="14.42578125" bestFit="1" customWidth="1"/>
    <col min="37" max="37" width="2.5703125" customWidth="1"/>
    <col min="38" max="38" width="14.5703125" bestFit="1" customWidth="1"/>
    <col min="40" max="40" width="11.7109375" bestFit="1" customWidth="1"/>
    <col min="41" max="41" width="10.140625" bestFit="1" customWidth="1"/>
  </cols>
  <sheetData>
    <row r="1" spans="1:41" ht="18.75" thickBot="1">
      <c r="A1" s="826" t="s">
        <v>59</v>
      </c>
      <c r="B1" s="826"/>
      <c r="C1" s="826"/>
      <c r="D1" s="826"/>
      <c r="E1" s="826"/>
      <c r="F1" s="826"/>
      <c r="G1" s="826"/>
      <c r="H1" s="826"/>
      <c r="I1" s="826"/>
      <c r="J1" s="826"/>
      <c r="K1" s="826"/>
      <c r="L1" s="826"/>
      <c r="M1" s="826"/>
      <c r="N1" s="826"/>
      <c r="O1" s="826"/>
      <c r="P1" s="826"/>
      <c r="Q1" s="826"/>
      <c r="R1" s="826"/>
      <c r="S1" s="845"/>
      <c r="T1" s="845"/>
      <c r="U1" s="845"/>
      <c r="V1" s="845"/>
      <c r="W1" s="845"/>
      <c r="X1" s="845"/>
      <c r="Y1" s="845"/>
      <c r="Z1" s="845"/>
      <c r="AA1" s="845"/>
      <c r="AB1" s="826"/>
      <c r="AC1" s="826"/>
      <c r="AD1" s="826"/>
      <c r="AE1" s="826"/>
      <c r="AF1" s="826"/>
      <c r="AG1" s="826"/>
      <c r="AH1" s="826"/>
    </row>
    <row r="2" spans="1:41" ht="13.5" thickBot="1">
      <c r="A2" s="550"/>
      <c r="B2" s="856" t="s">
        <v>66</v>
      </c>
      <c r="C2" s="857"/>
      <c r="D2" s="857"/>
      <c r="E2" s="857"/>
      <c r="F2" s="857"/>
      <c r="G2" s="857"/>
      <c r="H2" s="857"/>
      <c r="I2" s="857"/>
      <c r="J2" s="857"/>
      <c r="K2" s="857"/>
      <c r="L2" s="857"/>
      <c r="M2" s="857"/>
      <c r="N2" s="857"/>
      <c r="O2" s="857"/>
      <c r="P2" s="857"/>
      <c r="Q2" s="857"/>
      <c r="R2" s="857"/>
      <c r="S2" s="854"/>
      <c r="T2" s="854"/>
      <c r="U2" s="854"/>
      <c r="V2" s="854"/>
      <c r="W2" s="854"/>
      <c r="X2" s="854"/>
      <c r="Y2" s="854"/>
      <c r="Z2" s="854"/>
      <c r="AA2" s="855"/>
      <c r="AB2" s="853" t="s">
        <v>67</v>
      </c>
      <c r="AC2" s="854"/>
      <c r="AD2" s="854"/>
      <c r="AE2" s="854"/>
      <c r="AF2" s="855"/>
      <c r="AG2" s="103"/>
      <c r="AH2" s="105"/>
      <c r="AJ2" s="104"/>
      <c r="AL2" s="104"/>
    </row>
    <row r="3" spans="1:41">
      <c r="A3" s="552"/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550"/>
      <c r="M3" s="856" t="s">
        <v>425</v>
      </c>
      <c r="N3" s="857"/>
      <c r="O3" s="674"/>
      <c r="P3" s="103"/>
      <c r="Q3" s="103"/>
      <c r="R3" s="551"/>
      <c r="S3" s="856" t="s">
        <v>81</v>
      </c>
      <c r="T3" s="857"/>
      <c r="U3" s="858"/>
      <c r="V3" s="856" t="s">
        <v>107</v>
      </c>
      <c r="W3" s="858"/>
      <c r="X3" s="856" t="s">
        <v>55</v>
      </c>
      <c r="Y3" s="858"/>
      <c r="Z3" s="103"/>
      <c r="AA3" s="103"/>
      <c r="AB3" s="856" t="s">
        <v>82</v>
      </c>
      <c r="AC3" s="857"/>
      <c r="AD3" s="856" t="s">
        <v>405</v>
      </c>
      <c r="AE3" s="858"/>
      <c r="AF3" s="105"/>
      <c r="AG3" s="90" t="s">
        <v>62</v>
      </c>
      <c r="AH3" s="785" t="s">
        <v>489</v>
      </c>
      <c r="AJ3" s="90" t="s">
        <v>484</v>
      </c>
      <c r="AL3" s="90" t="s">
        <v>490</v>
      </c>
    </row>
    <row r="4" spans="1:41" ht="13.5" thickBot="1">
      <c r="A4" s="552"/>
      <c r="B4" s="59" t="s">
        <v>28</v>
      </c>
      <c r="C4" s="59" t="s">
        <v>29</v>
      </c>
      <c r="D4" s="59" t="s">
        <v>30</v>
      </c>
      <c r="E4" s="59" t="s">
        <v>31</v>
      </c>
      <c r="F4" s="59" t="s">
        <v>75</v>
      </c>
      <c r="G4" s="59" t="s">
        <v>73</v>
      </c>
      <c r="H4" s="59" t="s">
        <v>392</v>
      </c>
      <c r="I4" s="59" t="s">
        <v>74</v>
      </c>
      <c r="J4" s="59" t="s">
        <v>105</v>
      </c>
      <c r="K4" s="59" t="s">
        <v>104</v>
      </c>
      <c r="L4" s="390" t="s">
        <v>2</v>
      </c>
      <c r="M4" s="483" t="s">
        <v>0</v>
      </c>
      <c r="N4" s="484" t="s">
        <v>1</v>
      </c>
      <c r="O4" s="675" t="s">
        <v>76</v>
      </c>
      <c r="P4" s="59" t="s">
        <v>77</v>
      </c>
      <c r="Q4" s="59" t="s">
        <v>80</v>
      </c>
      <c r="R4" s="61" t="s">
        <v>2</v>
      </c>
      <c r="S4" s="547" t="s">
        <v>0</v>
      </c>
      <c r="T4" s="548" t="s">
        <v>1</v>
      </c>
      <c r="U4" s="549" t="s">
        <v>101</v>
      </c>
      <c r="V4" s="547" t="s">
        <v>0</v>
      </c>
      <c r="W4" s="549" t="s">
        <v>1</v>
      </c>
      <c r="X4" s="547" t="s">
        <v>1</v>
      </c>
      <c r="Y4" s="549" t="s">
        <v>101</v>
      </c>
      <c r="Z4" s="102" t="s">
        <v>159</v>
      </c>
      <c r="AA4" s="59" t="s">
        <v>2</v>
      </c>
      <c r="AB4" s="547" t="s">
        <v>0</v>
      </c>
      <c r="AC4" s="548" t="s">
        <v>1</v>
      </c>
      <c r="AD4" s="652" t="s">
        <v>0</v>
      </c>
      <c r="AE4" s="654" t="s">
        <v>1</v>
      </c>
      <c r="AF4" s="61" t="s">
        <v>2</v>
      </c>
      <c r="AG4" s="59" t="s">
        <v>2</v>
      </c>
      <c r="AH4" s="61" t="s">
        <v>2</v>
      </c>
      <c r="AJ4" s="59" t="s">
        <v>2</v>
      </c>
      <c r="AL4" s="59" t="s">
        <v>2</v>
      </c>
    </row>
    <row r="5" spans="1:41">
      <c r="A5" s="39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6"/>
      <c r="N5" s="7"/>
      <c r="O5" s="7"/>
      <c r="P5" s="7"/>
      <c r="Q5" s="7"/>
      <c r="R5" s="7"/>
      <c r="S5" s="6"/>
      <c r="T5" s="6"/>
      <c r="U5" s="7"/>
      <c r="V5" s="6"/>
      <c r="W5" s="7"/>
      <c r="X5" s="6"/>
      <c r="Y5" s="7"/>
      <c r="Z5" s="8"/>
      <c r="AA5" s="133"/>
      <c r="AB5" s="6"/>
      <c r="AC5" s="7"/>
      <c r="AD5" s="6"/>
      <c r="AE5" s="7"/>
      <c r="AF5" s="575"/>
      <c r="AG5" s="7"/>
      <c r="AH5" s="7"/>
      <c r="AJ5" s="133"/>
      <c r="AL5" s="133"/>
    </row>
    <row r="6" spans="1:41">
      <c r="A6" s="40"/>
      <c r="B6" s="31"/>
      <c r="C6" s="31"/>
      <c r="D6" s="31"/>
      <c r="E6" s="31"/>
      <c r="F6" s="31"/>
      <c r="G6" s="31"/>
      <c r="H6" s="31"/>
      <c r="I6" s="31"/>
      <c r="J6" s="31"/>
      <c r="K6" s="31"/>
      <c r="L6" s="107"/>
      <c r="M6" s="31"/>
      <c r="N6" s="107"/>
      <c r="O6" s="107"/>
      <c r="P6" s="107"/>
      <c r="Q6" s="107"/>
      <c r="R6" s="107"/>
      <c r="S6" s="31"/>
      <c r="T6" s="8"/>
      <c r="U6" s="9"/>
      <c r="V6" s="31"/>
      <c r="W6" s="9"/>
      <c r="X6" s="8"/>
      <c r="Y6" s="9"/>
      <c r="Z6" s="8"/>
      <c r="AA6" s="134"/>
      <c r="AB6" s="31"/>
      <c r="AC6" s="9"/>
      <c r="AD6" s="8"/>
      <c r="AE6" s="9"/>
      <c r="AF6" s="101"/>
      <c r="AG6" s="9"/>
      <c r="AH6" s="9"/>
      <c r="AJ6" s="134"/>
      <c r="AL6" s="134"/>
    </row>
    <row r="7" spans="1:41">
      <c r="A7" s="114" t="s">
        <v>70</v>
      </c>
      <c r="B7" s="210">
        <f>'TSM Cap Cost Allocations'!B8</f>
        <v>0.61445930998435772</v>
      </c>
      <c r="C7" s="210">
        <f>'TSM Cap Cost Allocations'!C8</f>
        <v>1.7243735409073701E-3</v>
      </c>
      <c r="D7" s="210">
        <f>'TSM Cap Cost Allocations'!D8</f>
        <v>3.2238337182833546E-4</v>
      </c>
      <c r="E7" s="210">
        <f>'TSM Cap Cost Allocations'!E8</f>
        <v>1.580230500889562E-3</v>
      </c>
      <c r="F7" s="210">
        <f>'TSM Cap Cost Allocations'!F8</f>
        <v>9.7429772953289758E-5</v>
      </c>
      <c r="G7" s="210">
        <f>'TSM Cap Cost Allocations'!G8</f>
        <v>6.0536020564417301E-4</v>
      </c>
      <c r="H7" s="210">
        <f>'TSM Cap Cost Allocations'!H8</f>
        <v>2.4080019483504402E-3</v>
      </c>
      <c r="I7" s="210">
        <f>'TSM Cap Cost Allocations'!I8</f>
        <v>2.1779849001515891E-3</v>
      </c>
      <c r="J7" s="210">
        <f>'TSM Cap Cost Allocations'!J8</f>
        <v>1.6687225916482403E-4</v>
      </c>
      <c r="K7" s="210">
        <f>'TSM Cap Cost Allocations'!K8</f>
        <v>5.2206258884428432E-3</v>
      </c>
      <c r="L7" s="211">
        <f>SUM(B7:K7)</f>
        <v>0.62876257237269007</v>
      </c>
      <c r="M7" s="210">
        <f>'TSM Cap Cost Allocations'!B15</f>
        <v>0.20043693214266362</v>
      </c>
      <c r="N7" s="211">
        <f>'TSM Cap Cost Allocations'!C15</f>
        <v>4.9965365342932854E-5</v>
      </c>
      <c r="O7" s="211">
        <f>'TSM Cap Cost Allocations'!D15</f>
        <v>2.9922447991532347E-3</v>
      </c>
      <c r="P7" s="211">
        <f>'TSM Cap Cost Allocations'!E15</f>
        <v>8.2555556164485352E-4</v>
      </c>
      <c r="Q7" s="211">
        <f>'TSM Cap Cost Allocations'!F15</f>
        <v>1.4240468631929304E-4</v>
      </c>
      <c r="R7" s="211">
        <f>SUM(M7:Q7)</f>
        <v>0.20444710255512394</v>
      </c>
      <c r="S7" s="210">
        <f>'TSM Cap Cost Allocations'!B22</f>
        <v>0.14132404192300183</v>
      </c>
      <c r="T7" s="210">
        <f>'TSM Cap Cost Allocations'!C22</f>
        <v>9.7555701976694161E-4</v>
      </c>
      <c r="U7" s="460">
        <f>'TSM Cap Cost Allocations'!D22</f>
        <v>9.4463269666237768E-4</v>
      </c>
      <c r="V7" s="210">
        <f>'TSM Cap Cost Allocations'!E22</f>
        <v>2.2709436930633247E-3</v>
      </c>
      <c r="W7" s="216">
        <f>'TSM Cap Cost Allocations'!F22</f>
        <v>1.2078048537851369E-5</v>
      </c>
      <c r="X7" s="210">
        <f>'TSM Cap Cost Allocations'!B29</f>
        <v>4.2351062924016666E-5</v>
      </c>
      <c r="Y7" s="211">
        <f>'TSM Cap Cost Allocations'!C29</f>
        <v>4.5323244855496951E-4</v>
      </c>
      <c r="Z7" s="210">
        <f>'TSM Cap Cost Allocations'!D29</f>
        <v>2.5112989356680269E-4</v>
      </c>
      <c r="AA7" s="215">
        <f>SUM(S7:Z7)</f>
        <v>0.1462739667860781</v>
      </c>
      <c r="AB7" s="210">
        <f>'TSM Cap Cost Allocations'!B36</f>
        <v>3.4120037868326063E-3</v>
      </c>
      <c r="AC7" s="211">
        <f>'TSM Cap Cost Allocations'!C36</f>
        <v>6.161572597403032E-5</v>
      </c>
      <c r="AD7" s="210">
        <f>'TSM Cap Cost Allocations'!D36</f>
        <v>7.0554978543088606E-3</v>
      </c>
      <c r="AE7" s="211">
        <f>'TSM Cap Cost Allocations'!E36</f>
        <v>1.4815082719252146E-5</v>
      </c>
      <c r="AF7" s="395">
        <f>SUM(AB7:AE7)</f>
        <v>1.054393244983475E-2</v>
      </c>
      <c r="AG7" s="211"/>
      <c r="AH7" s="211">
        <f>L7+R7+AA7+AF7</f>
        <v>0.99002757416372678</v>
      </c>
      <c r="AJ7" s="215">
        <f>'TSM Cap Cost Allocations'!H42</f>
        <v>9.9724258362730734E-3</v>
      </c>
      <c r="AL7" s="215">
        <f>AH7+AJ7</f>
        <v>0.99999999999999989</v>
      </c>
    </row>
    <row r="8" spans="1:41">
      <c r="A8" s="114"/>
      <c r="B8" s="23"/>
      <c r="C8" s="23"/>
      <c r="D8" s="23"/>
      <c r="E8" s="27"/>
      <c r="F8" s="27"/>
      <c r="G8" s="23"/>
      <c r="H8" s="23"/>
      <c r="I8" s="23"/>
      <c r="J8" s="27"/>
      <c r="K8" s="27"/>
      <c r="L8" s="794"/>
      <c r="M8" s="27"/>
      <c r="N8" s="30"/>
      <c r="O8" s="30"/>
      <c r="P8" s="30"/>
      <c r="Q8" s="30"/>
      <c r="R8" s="794"/>
      <c r="S8" s="129"/>
      <c r="T8" s="129"/>
      <c r="U8" s="213"/>
      <c r="V8" s="129"/>
      <c r="W8" s="213"/>
      <c r="X8" s="129"/>
      <c r="Y8" s="211"/>
      <c r="Z8" s="210"/>
      <c r="AA8" s="533"/>
      <c r="AB8" s="129"/>
      <c r="AC8" s="213"/>
      <c r="AD8" s="129"/>
      <c r="AE8" s="211"/>
      <c r="AF8" s="534"/>
      <c r="AG8" s="211"/>
      <c r="AH8" s="213"/>
      <c r="AJ8" s="217"/>
      <c r="AL8" s="217"/>
    </row>
    <row r="9" spans="1:41">
      <c r="A9" s="40"/>
      <c r="B9" s="23"/>
      <c r="C9" s="23"/>
      <c r="D9" s="23"/>
      <c r="E9" s="23"/>
      <c r="F9" s="23"/>
      <c r="G9" s="23"/>
      <c r="H9" s="23"/>
      <c r="I9" s="23"/>
      <c r="J9" s="23"/>
      <c r="K9" s="23"/>
      <c r="L9" s="45"/>
      <c r="M9" s="23"/>
      <c r="N9" s="45"/>
      <c r="O9" s="45"/>
      <c r="P9" s="45"/>
      <c r="Q9" s="45"/>
      <c r="R9" s="45"/>
      <c r="S9" s="129"/>
      <c r="T9" s="129"/>
      <c r="U9" s="213"/>
      <c r="V9" s="129"/>
      <c r="W9" s="213"/>
      <c r="X9" s="129"/>
      <c r="Y9" s="213"/>
      <c r="Z9" s="129"/>
      <c r="AA9" s="217"/>
      <c r="AB9" s="129"/>
      <c r="AC9" s="213"/>
      <c r="AD9" s="129"/>
      <c r="AE9" s="213"/>
      <c r="AF9" s="396"/>
      <c r="AG9" s="213"/>
      <c r="AH9" s="213"/>
      <c r="AI9" s="462"/>
      <c r="AJ9" s="217"/>
      <c r="AL9" s="217"/>
      <c r="AO9" s="793"/>
    </row>
    <row r="10" spans="1:41">
      <c r="A10" s="40" t="s">
        <v>268</v>
      </c>
      <c r="B10" s="129">
        <f>$J31*B7</f>
        <v>8130691.0822467981</v>
      </c>
      <c r="C10" s="129">
        <f>$J31*C7</f>
        <v>22817.375119395299</v>
      </c>
      <c r="D10" s="129">
        <f t="shared" ref="D10:AH10" si="0">$J31*D7</f>
        <v>4265.8636036551034</v>
      </c>
      <c r="E10" s="129">
        <f t="shared" si="0"/>
        <v>20910.035591785945</v>
      </c>
      <c r="F10" s="129">
        <f t="shared" si="0"/>
        <v>1289.2169965116316</v>
      </c>
      <c r="G10" s="129">
        <f t="shared" si="0"/>
        <v>8010.2892829526245</v>
      </c>
      <c r="H10" s="129">
        <f t="shared" si="0"/>
        <v>31863.330328552194</v>
      </c>
      <c r="I10" s="129">
        <f t="shared" si="0"/>
        <v>28819.682796215609</v>
      </c>
      <c r="J10" s="129">
        <f t="shared" si="0"/>
        <v>2208.098677030951</v>
      </c>
      <c r="K10" s="129">
        <f t="shared" si="0"/>
        <v>69080.727828811927</v>
      </c>
      <c r="L10" s="213">
        <f t="shared" si="0"/>
        <v>8319955.7024717079</v>
      </c>
      <c r="M10" s="129">
        <f t="shared" si="0"/>
        <v>2652235.4698584494</v>
      </c>
      <c r="N10" s="213">
        <f t="shared" si="0"/>
        <v>661.15517140643431</v>
      </c>
      <c r="O10" s="213">
        <f t="shared" si="0"/>
        <v>39594.189084699377</v>
      </c>
      <c r="P10" s="213">
        <f t="shared" si="0"/>
        <v>10923.973538843333</v>
      </c>
      <c r="Q10" s="213">
        <f t="shared" si="0"/>
        <v>1884.337163279215</v>
      </c>
      <c r="R10" s="213">
        <f t="shared" si="0"/>
        <v>2705299.124816678</v>
      </c>
      <c r="S10" s="129">
        <f t="shared" si="0"/>
        <v>1870037.7855771689</v>
      </c>
      <c r="T10" s="129">
        <f t="shared" si="0"/>
        <v>12908.833232658251</v>
      </c>
      <c r="U10" s="213">
        <f t="shared" si="0"/>
        <v>12499.634260480261</v>
      </c>
      <c r="V10" s="129">
        <f t="shared" si="0"/>
        <v>30049.73858064683</v>
      </c>
      <c r="W10" s="213">
        <f t="shared" si="0"/>
        <v>159.81999123774699</v>
      </c>
      <c r="X10" s="129">
        <f t="shared" si="0"/>
        <v>560.40067103668957</v>
      </c>
      <c r="Y10" s="213">
        <f t="shared" si="0"/>
        <v>5997.2938285280152</v>
      </c>
      <c r="Z10" s="129">
        <f t="shared" si="0"/>
        <v>3323.018388575103</v>
      </c>
      <c r="AA10" s="217">
        <f t="shared" si="0"/>
        <v>1935536.5245303316</v>
      </c>
      <c r="AB10" s="129">
        <f t="shared" si="0"/>
        <v>45148.553063502943</v>
      </c>
      <c r="AC10" s="213">
        <f t="shared" si="0"/>
        <v>815.3158810726851</v>
      </c>
      <c r="AD10" s="129">
        <f t="shared" si="0"/>
        <v>93360.247867838203</v>
      </c>
      <c r="AE10" s="213">
        <f t="shared" si="0"/>
        <v>196.03716469238384</v>
      </c>
      <c r="AF10" s="213">
        <f t="shared" si="0"/>
        <v>139520.15397710624</v>
      </c>
      <c r="AG10" s="213"/>
      <c r="AH10" s="213">
        <f t="shared" si="0"/>
        <v>13100311.505795823</v>
      </c>
      <c r="AI10" s="391"/>
      <c r="AJ10" s="792">
        <f>$J31*AJ7</f>
        <v>131957.82454238861</v>
      </c>
      <c r="AL10" s="792">
        <f>AH10+AJ10</f>
        <v>13232269.330338212</v>
      </c>
      <c r="AO10" s="35"/>
    </row>
    <row r="11" spans="1:41">
      <c r="A11" s="40"/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213"/>
      <c r="M11" s="129"/>
      <c r="N11" s="213"/>
      <c r="O11" s="213"/>
      <c r="P11" s="213"/>
      <c r="Q11" s="213"/>
      <c r="R11" s="213"/>
      <c r="S11" s="129"/>
      <c r="T11" s="129"/>
      <c r="U11" s="213"/>
      <c r="V11" s="129"/>
      <c r="W11" s="213"/>
      <c r="X11" s="129"/>
      <c r="Y11" s="213"/>
      <c r="Z11" s="129"/>
      <c r="AA11" s="217"/>
      <c r="AB11" s="129"/>
      <c r="AC11" s="213"/>
      <c r="AD11" s="129"/>
      <c r="AE11" s="213"/>
      <c r="AF11" s="397"/>
      <c r="AG11" s="213"/>
      <c r="AH11" s="213"/>
      <c r="AI11" s="23"/>
      <c r="AJ11" s="217"/>
      <c r="AL11" s="217"/>
      <c r="AO11" s="18"/>
    </row>
    <row r="12" spans="1:41">
      <c r="A12" s="40"/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213"/>
      <c r="M12" s="129"/>
      <c r="N12" s="213"/>
      <c r="O12" s="213"/>
      <c r="P12" s="213"/>
      <c r="Q12" s="213"/>
      <c r="R12" s="213"/>
      <c r="S12" s="129"/>
      <c r="T12" s="129"/>
      <c r="U12" s="213"/>
      <c r="V12" s="129"/>
      <c r="W12" s="213"/>
      <c r="X12" s="129"/>
      <c r="Y12" s="213"/>
      <c r="Z12" s="129"/>
      <c r="AA12" s="217"/>
      <c r="AB12" s="129"/>
      <c r="AC12" s="213"/>
      <c r="AD12" s="129"/>
      <c r="AE12" s="213"/>
      <c r="AF12" s="397"/>
      <c r="AG12" s="213"/>
      <c r="AH12" s="213"/>
      <c r="AJ12" s="217"/>
      <c r="AL12" s="217"/>
    </row>
    <row r="13" spans="1:41">
      <c r="A13" s="40" t="s">
        <v>371</v>
      </c>
      <c r="B13" s="129">
        <f>$A$14*B10</f>
        <v>2557564.3728300263</v>
      </c>
      <c r="C13" s="129">
        <f t="shared" ref="C13:L13" si="1">$A$14*C10</f>
        <v>7177.3610750363923</v>
      </c>
      <c r="D13" s="129">
        <f t="shared" si="1"/>
        <v>1341.8565115433853</v>
      </c>
      <c r="E13" s="129">
        <f t="shared" si="1"/>
        <v>6577.3944088134604</v>
      </c>
      <c r="F13" s="129">
        <f t="shared" si="1"/>
        <v>405.53200530820476</v>
      </c>
      <c r="G13" s="129">
        <f>$A$14*G10</f>
        <v>2519.6911651058049</v>
      </c>
      <c r="H13" s="129">
        <f>$A$14*H10</f>
        <v>10022.828025769772</v>
      </c>
      <c r="I13" s="129">
        <f>$A$14*I10</f>
        <v>9065.4279212260135</v>
      </c>
      <c r="J13" s="129">
        <f t="shared" si="1"/>
        <v>694.57250938955997</v>
      </c>
      <c r="K13" s="129">
        <f t="shared" si="1"/>
        <v>21729.814422529336</v>
      </c>
      <c r="L13" s="213">
        <f t="shared" si="1"/>
        <v>2617098.8508747481</v>
      </c>
      <c r="M13" s="129">
        <f t="shared" ref="M13:N13" si="2">$A$14*M10</f>
        <v>834278.76885855314</v>
      </c>
      <c r="N13" s="213">
        <f t="shared" si="2"/>
        <v>207.97087162659207</v>
      </c>
      <c r="O13" s="213">
        <f t="shared" ref="O13:R13" si="3">$A$14*O10</f>
        <v>12454.622411523182</v>
      </c>
      <c r="P13" s="213">
        <f t="shared" si="3"/>
        <v>3436.2104340290816</v>
      </c>
      <c r="Q13" s="213">
        <f t="shared" si="3"/>
        <v>592.73111552908358</v>
      </c>
      <c r="R13" s="213">
        <f t="shared" si="3"/>
        <v>850970.30369126122</v>
      </c>
      <c r="S13" s="129">
        <f t="shared" ref="S13:Y13" si="4">$A$14*S10</f>
        <v>588233.14867799438</v>
      </c>
      <c r="T13" s="129">
        <f t="shared" si="4"/>
        <v>4060.5615976160962</v>
      </c>
      <c r="U13" s="213">
        <f t="shared" si="4"/>
        <v>3931.8452680870823</v>
      </c>
      <c r="V13" s="129">
        <f>$A$14*V10</f>
        <v>9452.3503634921944</v>
      </c>
      <c r="W13" s="213">
        <f>$A$14*W10</f>
        <v>50.2724690338028</v>
      </c>
      <c r="X13" s="129">
        <f t="shared" si="4"/>
        <v>176.27785587414252</v>
      </c>
      <c r="Y13" s="213">
        <f t="shared" si="4"/>
        <v>1886.4897059891839</v>
      </c>
      <c r="Z13" s="129">
        <f t="shared" ref="Z13:AC13" si="5">$A$14*Z10</f>
        <v>1045.2781141120663</v>
      </c>
      <c r="AA13" s="217">
        <f t="shared" si="5"/>
        <v>608836.22405219881</v>
      </c>
      <c r="AB13" s="129">
        <f t="shared" si="5"/>
        <v>14201.785510233964</v>
      </c>
      <c r="AC13" s="213">
        <f t="shared" si="5"/>
        <v>256.4631750168279</v>
      </c>
      <c r="AD13" s="129">
        <f>$A$14*AD10</f>
        <v>29367.10316134425</v>
      </c>
      <c r="AE13" s="213">
        <f>$A$14*AE10</f>
        <v>61.664828130366608</v>
      </c>
      <c r="AF13" s="213">
        <f>$A$14*AF10</f>
        <v>43887.016674725412</v>
      </c>
      <c r="AG13" s="213"/>
      <c r="AH13" s="213">
        <f>L13+R13+AA13+AF13</f>
        <v>4120792.3952929336</v>
      </c>
      <c r="AI13" s="23"/>
      <c r="AJ13" s="217">
        <f t="shared" ref="AJ13" si="6">$A$14*AJ10</f>
        <v>41508.234337259826</v>
      </c>
      <c r="AL13" s="217">
        <f>AH13+AJ13</f>
        <v>4162300.6296301936</v>
      </c>
    </row>
    <row r="14" spans="1:41">
      <c r="A14" s="625">
        <f>Inputs!C8</f>
        <v>0.31455682511593847</v>
      </c>
      <c r="B14" s="129"/>
      <c r="C14" s="129"/>
      <c r="D14" s="129"/>
      <c r="E14" s="129"/>
      <c r="F14" s="129"/>
      <c r="G14" s="129"/>
      <c r="H14" s="129"/>
      <c r="I14" s="129"/>
      <c r="J14" s="129"/>
      <c r="K14" s="129"/>
      <c r="L14" s="213"/>
      <c r="M14" s="129"/>
      <c r="N14" s="213"/>
      <c r="O14" s="213"/>
      <c r="P14" s="213"/>
      <c r="Q14" s="213"/>
      <c r="R14" s="213"/>
      <c r="S14" s="129"/>
      <c r="T14" s="129"/>
      <c r="U14" s="213"/>
      <c r="V14" s="129"/>
      <c r="W14" s="213"/>
      <c r="X14" s="129"/>
      <c r="Y14" s="213"/>
      <c r="Z14" s="129"/>
      <c r="AA14" s="217"/>
      <c r="AB14" s="129"/>
      <c r="AC14" s="213"/>
      <c r="AD14" s="129"/>
      <c r="AE14" s="213"/>
      <c r="AF14" s="397"/>
      <c r="AG14" s="213"/>
      <c r="AH14" s="213"/>
      <c r="AI14" s="23"/>
      <c r="AJ14" s="217"/>
      <c r="AL14" s="217"/>
    </row>
    <row r="15" spans="1:41">
      <c r="A15" s="40"/>
      <c r="B15" s="129"/>
      <c r="C15" s="129"/>
      <c r="D15" s="129"/>
      <c r="E15" s="129"/>
      <c r="F15" s="129"/>
      <c r="G15" s="129"/>
      <c r="H15" s="129"/>
      <c r="I15" s="129"/>
      <c r="J15" s="129"/>
      <c r="K15" s="129"/>
      <c r="L15" s="213"/>
      <c r="M15" s="129"/>
      <c r="N15" s="213"/>
      <c r="O15" s="213"/>
      <c r="P15" s="213"/>
      <c r="Q15" s="213"/>
      <c r="R15" s="213"/>
      <c r="S15" s="129"/>
      <c r="T15" s="129"/>
      <c r="U15" s="213"/>
      <c r="V15" s="129"/>
      <c r="W15" s="213"/>
      <c r="X15" s="129"/>
      <c r="Y15" s="213"/>
      <c r="Z15" s="129"/>
      <c r="AA15" s="217"/>
      <c r="AB15" s="129"/>
      <c r="AC15" s="213"/>
      <c r="AD15" s="129"/>
      <c r="AE15" s="213"/>
      <c r="AF15" s="397"/>
      <c r="AG15" s="213"/>
      <c r="AH15" s="213"/>
      <c r="AJ15" s="217"/>
      <c r="AL15" s="217"/>
    </row>
    <row r="16" spans="1:41">
      <c r="A16" s="40"/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213"/>
      <c r="M16" s="129"/>
      <c r="N16" s="213"/>
      <c r="O16" s="213"/>
      <c r="P16" s="213"/>
      <c r="Q16" s="213"/>
      <c r="R16" s="213"/>
      <c r="S16" s="129"/>
      <c r="T16" s="129"/>
      <c r="U16" s="213"/>
      <c r="V16" s="129"/>
      <c r="W16" s="213"/>
      <c r="X16" s="129"/>
      <c r="Y16" s="213"/>
      <c r="Z16" s="129"/>
      <c r="AA16" s="217"/>
      <c r="AB16" s="129"/>
      <c r="AC16" s="213"/>
      <c r="AD16" s="129"/>
      <c r="AE16" s="213"/>
      <c r="AF16" s="397"/>
      <c r="AG16" s="213"/>
      <c r="AH16" s="213"/>
      <c r="AJ16" s="217"/>
      <c r="AL16" s="217"/>
    </row>
    <row r="17" spans="1:38">
      <c r="A17" s="40" t="s">
        <v>2</v>
      </c>
      <c r="B17" s="129">
        <f t="shared" ref="B17:K17" si="7">B10+B13</f>
        <v>10688255.455076825</v>
      </c>
      <c r="C17" s="129">
        <f t="shared" si="7"/>
        <v>29994.736194431691</v>
      </c>
      <c r="D17" s="129">
        <f t="shared" si="7"/>
        <v>5607.7201151984882</v>
      </c>
      <c r="E17" s="129">
        <f t="shared" si="7"/>
        <v>27487.430000599405</v>
      </c>
      <c r="F17" s="129">
        <f t="shared" si="7"/>
        <v>1694.7490018198364</v>
      </c>
      <c r="G17" s="129">
        <f t="shared" si="7"/>
        <v>10529.98044805843</v>
      </c>
      <c r="H17" s="129">
        <f t="shared" si="7"/>
        <v>41886.158354321968</v>
      </c>
      <c r="I17" s="129">
        <f t="shared" si="7"/>
        <v>37885.110717441625</v>
      </c>
      <c r="J17" s="129">
        <f t="shared" si="7"/>
        <v>2902.6711864205108</v>
      </c>
      <c r="K17" s="129">
        <f t="shared" si="7"/>
        <v>90810.542251341263</v>
      </c>
      <c r="L17" s="213">
        <f t="shared" ref="L17:R17" si="8">L10+L13</f>
        <v>10937054.553346455</v>
      </c>
      <c r="M17" s="129">
        <f t="shared" ref="M17:N17" si="9">M10+M13</f>
        <v>3486514.2387170028</v>
      </c>
      <c r="N17" s="213">
        <f t="shared" si="9"/>
        <v>869.12604303302635</v>
      </c>
      <c r="O17" s="213">
        <f t="shared" si="8"/>
        <v>52048.811496222559</v>
      </c>
      <c r="P17" s="213">
        <f t="shared" si="8"/>
        <v>14360.183972872415</v>
      </c>
      <c r="Q17" s="213">
        <f t="shared" si="8"/>
        <v>2477.0682788082986</v>
      </c>
      <c r="R17" s="213">
        <f t="shared" si="8"/>
        <v>3556269.428507939</v>
      </c>
      <c r="S17" s="129">
        <f t="shared" ref="S17:Y17" si="10">S10+S13</f>
        <v>2458270.9342551632</v>
      </c>
      <c r="T17" s="129">
        <f t="shared" si="10"/>
        <v>16969.394830274348</v>
      </c>
      <c r="U17" s="213">
        <f t="shared" si="10"/>
        <v>16431.479528567343</v>
      </c>
      <c r="V17" s="129">
        <f t="shared" si="10"/>
        <v>39502.088944139025</v>
      </c>
      <c r="W17" s="213">
        <f t="shared" si="10"/>
        <v>210.09246027154978</v>
      </c>
      <c r="X17" s="129">
        <f t="shared" si="10"/>
        <v>736.67852691083203</v>
      </c>
      <c r="Y17" s="213">
        <f t="shared" si="10"/>
        <v>7883.7835345171989</v>
      </c>
      <c r="Z17" s="129">
        <f t="shared" ref="Z17:AC17" si="11">Z10+Z13</f>
        <v>4368.2965026871698</v>
      </c>
      <c r="AA17" s="217">
        <f t="shared" si="11"/>
        <v>2544372.7485825303</v>
      </c>
      <c r="AB17" s="129">
        <f t="shared" si="11"/>
        <v>59350.33857373691</v>
      </c>
      <c r="AC17" s="213">
        <f t="shared" si="11"/>
        <v>1071.779056089513</v>
      </c>
      <c r="AD17" s="129">
        <f>AD10+AD13</f>
        <v>122727.35102918245</v>
      </c>
      <c r="AE17" s="213">
        <f>AE10+AE13</f>
        <v>257.70199282275047</v>
      </c>
      <c r="AF17" s="51">
        <f>AF10+AF13</f>
        <v>183407.17065183166</v>
      </c>
      <c r="AG17" s="213"/>
      <c r="AH17" s="213">
        <f>AH10+AH13</f>
        <v>17221103.901088756</v>
      </c>
      <c r="AI17" s="23"/>
      <c r="AJ17" s="217">
        <f>AJ10+AJ13</f>
        <v>173466.05887964845</v>
      </c>
      <c r="AL17" s="217">
        <f>AL10+AL13</f>
        <v>17394569.959968407</v>
      </c>
    </row>
    <row r="18" spans="1:38">
      <c r="A18" s="40"/>
      <c r="B18" s="129"/>
      <c r="C18" s="129"/>
      <c r="D18" s="129"/>
      <c r="E18" s="129"/>
      <c r="F18" s="129"/>
      <c r="G18" s="129"/>
      <c r="H18" s="129"/>
      <c r="I18" s="129"/>
      <c r="J18" s="129"/>
      <c r="K18" s="129"/>
      <c r="L18" s="213"/>
      <c r="M18" s="129"/>
      <c r="N18" s="213"/>
      <c r="O18" s="213"/>
      <c r="P18" s="213"/>
      <c r="Q18" s="213"/>
      <c r="R18" s="213"/>
      <c r="S18" s="129"/>
      <c r="T18" s="129"/>
      <c r="U18" s="213"/>
      <c r="V18" s="129"/>
      <c r="W18" s="213"/>
      <c r="X18" s="129"/>
      <c r="Y18" s="213"/>
      <c r="Z18" s="129"/>
      <c r="AA18" s="217"/>
      <c r="AB18" s="129"/>
      <c r="AC18" s="213"/>
      <c r="AD18" s="129"/>
      <c r="AE18" s="213"/>
      <c r="AF18" s="535"/>
      <c r="AG18" s="213"/>
      <c r="AH18" s="213"/>
      <c r="AJ18" s="217"/>
      <c r="AL18" s="217"/>
    </row>
    <row r="19" spans="1:38">
      <c r="A19" s="40"/>
      <c r="B19" s="129"/>
      <c r="C19" s="129"/>
      <c r="D19" s="129"/>
      <c r="E19" s="129"/>
      <c r="F19" s="129"/>
      <c r="G19" s="129"/>
      <c r="H19" s="129"/>
      <c r="I19" s="129"/>
      <c r="J19" s="129"/>
      <c r="K19" s="129"/>
      <c r="L19" s="213"/>
      <c r="M19" s="129"/>
      <c r="N19" s="213"/>
      <c r="O19" s="213"/>
      <c r="P19" s="213"/>
      <c r="Q19" s="213"/>
      <c r="R19" s="213"/>
      <c r="S19" s="129"/>
      <c r="T19" s="129"/>
      <c r="U19" s="213"/>
      <c r="V19" s="129"/>
      <c r="W19" s="213"/>
      <c r="X19" s="129"/>
      <c r="Y19" s="213"/>
      <c r="Z19" s="129"/>
      <c r="AA19" s="217"/>
      <c r="AB19" s="129"/>
      <c r="AC19" s="213"/>
      <c r="AD19" s="129"/>
      <c r="AE19" s="213"/>
      <c r="AF19" s="397"/>
      <c r="AG19" s="213"/>
      <c r="AH19" s="213"/>
      <c r="AJ19" s="217"/>
      <c r="AL19" s="217"/>
    </row>
    <row r="20" spans="1:38">
      <c r="A20" s="40" t="s">
        <v>60</v>
      </c>
      <c r="B20" s="207">
        <f>B17/'Total Customers'!B39</f>
        <v>8.4993296083999041</v>
      </c>
      <c r="C20" s="207">
        <f>C17/'Total Customers'!C39</f>
        <v>8.2812634440728026</v>
      </c>
      <c r="D20" s="207">
        <f>D17/'Total Customers'!D39</f>
        <v>23.862638788078673</v>
      </c>
      <c r="E20" s="207">
        <f>E17/'Total Customers'!E39</f>
        <v>68.718575001498508</v>
      </c>
      <c r="F20" s="207">
        <f>F17/'Total Customers'!F39</f>
        <v>38.517022768632643</v>
      </c>
      <c r="G20" s="207">
        <f>G17/'Total Customers'!G39</f>
        <v>9.6516777709059856</v>
      </c>
      <c r="H20" s="207">
        <f>H17/'Total Customers'!H39</f>
        <v>9.2730038420017635</v>
      </c>
      <c r="I20" s="207">
        <f>I17/'Total Customers'!I39</f>
        <v>10.650860477211589</v>
      </c>
      <c r="J20" s="207">
        <f>J17/'Total Customers'!J39</f>
        <v>9.485853550393827</v>
      </c>
      <c r="K20" s="207">
        <f>K17/'Total Customers'!K39</f>
        <v>10.984703308496584</v>
      </c>
      <c r="L20" s="214">
        <f>L17/'Total Customers'!L39</f>
        <v>8.5473784783651308</v>
      </c>
      <c r="M20" s="207">
        <f>M17/'Total Customers'!M39</f>
        <v>27.955629099049062</v>
      </c>
      <c r="N20" s="214">
        <f>N17/'Total Customers'!N39</f>
        <v>43.456302151651315</v>
      </c>
      <c r="O20" s="214">
        <f>O17/'Total Customers'!O39</f>
        <v>7.4483130360936691</v>
      </c>
      <c r="P20" s="214">
        <f>P17/'Total Customers'!P39</f>
        <v>90.887240334635536</v>
      </c>
      <c r="Q20" s="214">
        <f>Q17/'Total Customers'!Q39</f>
        <v>47.635928438621129</v>
      </c>
      <c r="R20" s="214">
        <f>R17/'Total Customers'!R39</f>
        <v>26.954912520714441</v>
      </c>
      <c r="S20" s="207">
        <f>S17/'Total Customers'!S39</f>
        <v>140.89127316914048</v>
      </c>
      <c r="T20" s="207">
        <f>T17/'Total Customers'!T39</f>
        <v>48.762628822627441</v>
      </c>
      <c r="U20" s="214">
        <f>U17/'Total Customers'!U39</f>
        <v>912.85997380929678</v>
      </c>
      <c r="V20" s="207">
        <f>V17/'Total Customers'!V39</f>
        <v>160.57759733389847</v>
      </c>
      <c r="W20" s="219">
        <f>W17/'Total Customers'!W39</f>
        <v>42.018492054309959</v>
      </c>
      <c r="X20" s="207">
        <f>X17/'Total Customers'!X39</f>
        <v>56.667578993140928</v>
      </c>
      <c r="Y20" s="214">
        <f>Y17/'Total Customers'!Y39</f>
        <v>1126.2547906453142</v>
      </c>
      <c r="Z20" s="207">
        <f>Z17/'Total Customers'!Z39</f>
        <v>150.63091388576447</v>
      </c>
      <c r="AA20" s="218">
        <f>AA17/'Total Customers'!AA39</f>
        <v>140.46443350902783</v>
      </c>
      <c r="AB20" s="207">
        <f>AB17/'Total Customers'!AB39</f>
        <v>126.27731611433386</v>
      </c>
      <c r="AC20" s="214">
        <f>AC17/'Total Customers'!AC39</f>
        <v>51.037097909024432</v>
      </c>
      <c r="AD20" s="207">
        <f>AD17/'Total Customers'!AD39</f>
        <v>35.368112688525201</v>
      </c>
      <c r="AE20" s="214">
        <f>AE17/'Total Customers'!AE39</f>
        <v>51.540398564550095</v>
      </c>
      <c r="AF20" s="214">
        <f>AF17/'Total Customers'!AF39</f>
        <v>46.244874092746258</v>
      </c>
      <c r="AG20" s="214"/>
      <c r="AH20" s="219">
        <f>AH17/'Total Customers'!AH39</f>
        <v>11.968450283095304</v>
      </c>
      <c r="AJ20" s="221">
        <f>AJ17/'Total Customers'!AN39</f>
        <v>100.91102901666576</v>
      </c>
      <c r="AL20" s="221">
        <f>AL17/('Total Customers'!AH39+'Total Customers'!AN39)</f>
        <v>12.074581707246043</v>
      </c>
    </row>
    <row r="21" spans="1:38">
      <c r="A21" s="40"/>
      <c r="B21" s="23"/>
      <c r="C21" s="23"/>
      <c r="D21" s="23"/>
      <c r="E21" s="37"/>
      <c r="F21" s="37"/>
      <c r="G21" s="37"/>
      <c r="H21" s="37"/>
      <c r="I21" s="37"/>
      <c r="J21" s="37"/>
      <c r="K21" s="37"/>
      <c r="L21" s="38"/>
      <c r="M21" s="37"/>
      <c r="N21" s="38"/>
      <c r="O21" s="38"/>
      <c r="P21" s="38"/>
      <c r="Q21" s="38"/>
      <c r="R21" s="38"/>
      <c r="S21" s="129"/>
      <c r="T21" s="129"/>
      <c r="U21" s="213"/>
      <c r="V21" s="129"/>
      <c r="W21" s="213"/>
      <c r="X21" s="129"/>
      <c r="Y21" s="219"/>
      <c r="Z21" s="220"/>
      <c r="AA21" s="221"/>
      <c r="AB21" s="129"/>
      <c r="AC21" s="213"/>
      <c r="AD21" s="129"/>
      <c r="AE21" s="213"/>
      <c r="AF21" s="397"/>
      <c r="AG21" s="219"/>
      <c r="AH21" s="213"/>
      <c r="AJ21" s="217"/>
      <c r="AL21" s="217"/>
    </row>
    <row r="22" spans="1:38">
      <c r="A22" s="40"/>
      <c r="B22" s="23"/>
      <c r="C22" s="23"/>
      <c r="D22" s="23"/>
      <c r="E22" s="37"/>
      <c r="F22" s="37"/>
      <c r="G22" s="37"/>
      <c r="H22" s="37"/>
      <c r="I22" s="37"/>
      <c r="J22" s="37"/>
      <c r="K22" s="37"/>
      <c r="L22" s="219" t="s">
        <v>182</v>
      </c>
      <c r="M22" s="23">
        <f>'Total Customers'!M39</f>
        <v>124716</v>
      </c>
      <c r="N22" s="45">
        <f>'Total Customers'!N39</f>
        <v>20</v>
      </c>
      <c r="O22" s="38"/>
      <c r="P22" s="38"/>
      <c r="Q22" s="38"/>
      <c r="R22" s="796"/>
      <c r="S22" s="129">
        <f>'Total Customers'!S39</f>
        <v>17448</v>
      </c>
      <c r="T22" s="129">
        <f>'Total Customers'!T39</f>
        <v>348</v>
      </c>
      <c r="U22" s="213">
        <f>'Total Customers'!U39</f>
        <v>18</v>
      </c>
      <c r="V22" s="129">
        <f>'Total Customers'!V39</f>
        <v>246</v>
      </c>
      <c r="W22" s="213">
        <f>'Total Customers'!W39</f>
        <v>5</v>
      </c>
      <c r="X22" s="129">
        <f>'Total Customers'!X39</f>
        <v>13</v>
      </c>
      <c r="Y22" s="213">
        <f>'Total Customers'!Y39</f>
        <v>7</v>
      </c>
      <c r="Z22" s="129"/>
      <c r="AA22" s="221"/>
      <c r="AB22" s="23">
        <f>'Total Customers'!AB39</f>
        <v>470</v>
      </c>
      <c r="AC22" s="45">
        <f>'Total Customers'!AC39</f>
        <v>21</v>
      </c>
      <c r="AD22" s="23">
        <f>'Total Customers'!AD39</f>
        <v>3470</v>
      </c>
      <c r="AE22" s="45">
        <f>'Total Customers'!AE39</f>
        <v>5</v>
      </c>
      <c r="AF22" s="51"/>
      <c r="AG22" s="219"/>
      <c r="AH22" s="213"/>
      <c r="AJ22" s="217"/>
      <c r="AL22" s="217"/>
    </row>
    <row r="23" spans="1:38">
      <c r="A23" s="40"/>
      <c r="B23" s="23"/>
      <c r="C23" s="23"/>
      <c r="D23" s="23"/>
      <c r="E23" s="37"/>
      <c r="F23" s="37"/>
      <c r="G23" s="37"/>
      <c r="H23" s="37"/>
      <c r="I23" s="37"/>
      <c r="J23" s="37"/>
      <c r="K23" s="37"/>
      <c r="L23" s="219" t="s">
        <v>230</v>
      </c>
      <c r="M23" s="394">
        <f>M20*M22</f>
        <v>3486514.2387170028</v>
      </c>
      <c r="N23" s="393">
        <f>N20*N22</f>
        <v>869.12604303302624</v>
      </c>
      <c r="O23" s="38"/>
      <c r="P23" s="38"/>
      <c r="Q23" s="38"/>
      <c r="R23" s="796"/>
      <c r="S23" s="394">
        <f t="shared" ref="S23:Y23" si="12">S20*S22</f>
        <v>2458270.9342551632</v>
      </c>
      <c r="T23" s="394">
        <f t="shared" si="12"/>
        <v>16969.394830274348</v>
      </c>
      <c r="U23" s="393">
        <f t="shared" si="12"/>
        <v>16431.479528567343</v>
      </c>
      <c r="V23" s="394">
        <f t="shared" si="12"/>
        <v>39502.088944139025</v>
      </c>
      <c r="W23" s="393">
        <f t="shared" si="12"/>
        <v>210.09246027154978</v>
      </c>
      <c r="X23" s="394">
        <f t="shared" si="12"/>
        <v>736.67852691083203</v>
      </c>
      <c r="Y23" s="393">
        <f t="shared" si="12"/>
        <v>7883.7835345171989</v>
      </c>
      <c r="Z23" s="394"/>
      <c r="AA23" s="221"/>
      <c r="AB23" s="394">
        <f>AB20*AB22</f>
        <v>59350.33857373691</v>
      </c>
      <c r="AC23" s="393">
        <f>AC20*AC22</f>
        <v>1071.779056089513</v>
      </c>
      <c r="AD23" s="394">
        <f>AD20*AD22</f>
        <v>122727.35102918245</v>
      </c>
      <c r="AE23" s="393">
        <f>AE20*AE22</f>
        <v>257.70199282275047</v>
      </c>
      <c r="AF23" s="51"/>
      <c r="AG23" s="219"/>
      <c r="AH23" s="213"/>
      <c r="AJ23" s="217"/>
      <c r="AL23" s="217"/>
    </row>
    <row r="24" spans="1:38">
      <c r="A24" s="40"/>
      <c r="B24" s="23"/>
      <c r="C24" s="23"/>
      <c r="D24" s="23"/>
      <c r="E24" s="37"/>
      <c r="F24" s="37"/>
      <c r="G24" s="37"/>
      <c r="H24" s="37"/>
      <c r="I24" s="37"/>
      <c r="J24" s="37"/>
      <c r="K24" s="37"/>
      <c r="L24" s="219" t="s">
        <v>269</v>
      </c>
      <c r="M24" s="400"/>
      <c r="N24" s="399">
        <f>SUM(M23:N23)/SUM(M22:N22)</f>
        <v>27.958114455810957</v>
      </c>
      <c r="O24" s="38"/>
      <c r="P24" s="38"/>
      <c r="Q24" s="38"/>
      <c r="R24" s="796"/>
      <c r="S24" s="795"/>
      <c r="T24" s="222"/>
      <c r="U24" s="399">
        <f>SUM(S23:U23)/SUM(S22:U22)</f>
        <v>139.87155094947821</v>
      </c>
      <c r="V24" s="795"/>
      <c r="W24" s="399">
        <f>SUM(V23:W23)/SUM(V22:W22)</f>
        <v>158.21586216896645</v>
      </c>
      <c r="X24" s="795"/>
      <c r="Y24" s="399">
        <f>SUM(X23:Y23)/SUM(X22:Y22)</f>
        <v>431.02310307140152</v>
      </c>
      <c r="Z24" s="400"/>
      <c r="AA24" s="221"/>
      <c r="AB24" s="795"/>
      <c r="AC24" s="399">
        <f>SUM(AB23:AC23)/SUM(AB22:AC22)</f>
        <v>123.05930270840412</v>
      </c>
      <c r="AD24" s="795"/>
      <c r="AE24" s="399">
        <f>SUM(AD23:AE23)/SUM(AD22:AE22)</f>
        <v>35.391382164605815</v>
      </c>
      <c r="AF24" s="51"/>
      <c r="AG24" s="219"/>
      <c r="AH24" s="213"/>
      <c r="AJ24" s="217"/>
      <c r="AL24" s="217"/>
    </row>
    <row r="25" spans="1:38">
      <c r="A25" s="40"/>
      <c r="B25" s="23"/>
      <c r="C25" s="23"/>
      <c r="D25" s="23"/>
      <c r="E25" s="37"/>
      <c r="F25" s="37"/>
      <c r="G25" s="37"/>
      <c r="H25" s="37"/>
      <c r="I25" s="37"/>
      <c r="J25" s="37"/>
      <c r="K25" s="37"/>
      <c r="L25" s="38"/>
      <c r="M25" s="37"/>
      <c r="N25" s="38"/>
      <c r="O25" s="38"/>
      <c r="P25" s="38"/>
      <c r="Q25" s="38"/>
      <c r="R25" s="38"/>
      <c r="S25" s="23"/>
      <c r="T25" s="23"/>
      <c r="U25" s="45"/>
      <c r="V25" s="23"/>
      <c r="W25" s="45"/>
      <c r="X25" s="23"/>
      <c r="Y25" s="45"/>
      <c r="Z25" s="23"/>
      <c r="AA25" s="166"/>
      <c r="AB25" s="23"/>
      <c r="AC25" s="45"/>
      <c r="AD25" s="37"/>
      <c r="AE25" s="38"/>
      <c r="AF25" s="26"/>
      <c r="AG25" s="38"/>
      <c r="AH25" s="45"/>
      <c r="AJ25" s="165"/>
      <c r="AL25" s="165"/>
    </row>
    <row r="26" spans="1:38">
      <c r="A26" s="212"/>
      <c r="B26" s="108"/>
      <c r="C26" s="12"/>
      <c r="D26" s="23"/>
      <c r="E26" s="12"/>
      <c r="F26" s="12"/>
      <c r="G26" s="12"/>
      <c r="H26" s="12"/>
      <c r="I26" s="12"/>
      <c r="J26" s="12"/>
      <c r="K26" s="37"/>
      <c r="L26" s="38"/>
      <c r="M26" s="37"/>
      <c r="N26" s="38"/>
      <c r="O26" s="38"/>
      <c r="P26" s="38"/>
      <c r="Q26" s="38"/>
      <c r="R26" s="38"/>
      <c r="S26" s="23"/>
      <c r="T26" s="23"/>
      <c r="U26" s="45"/>
      <c r="V26" s="23"/>
      <c r="W26" s="45"/>
      <c r="X26" s="23"/>
      <c r="Y26" s="38"/>
      <c r="Z26" s="37"/>
      <c r="AA26" s="166"/>
      <c r="AB26" s="23"/>
      <c r="AC26" s="45"/>
      <c r="AD26" s="37"/>
      <c r="AE26" s="38"/>
      <c r="AF26" s="101"/>
      <c r="AG26" s="38"/>
      <c r="AH26" s="45"/>
      <c r="AJ26" s="165"/>
      <c r="AL26" s="165"/>
    </row>
    <row r="27" spans="1:38">
      <c r="A27" s="40"/>
      <c r="B27" s="109"/>
      <c r="C27" s="12"/>
      <c r="D27" s="23"/>
      <c r="E27" s="12"/>
      <c r="F27" s="12"/>
      <c r="G27" s="12"/>
      <c r="H27" s="12"/>
      <c r="I27" s="12"/>
      <c r="J27" s="12"/>
      <c r="K27" s="23"/>
      <c r="L27" s="45"/>
      <c r="M27" s="23"/>
      <c r="N27" s="45"/>
      <c r="O27" s="45"/>
      <c r="P27" s="45"/>
      <c r="Q27" s="45"/>
      <c r="R27" s="45"/>
      <c r="S27" s="23"/>
      <c r="T27" s="23"/>
      <c r="U27" s="45"/>
      <c r="V27" s="23"/>
      <c r="W27" s="45"/>
      <c r="X27" s="23"/>
      <c r="Y27" s="45"/>
      <c r="Z27" s="23"/>
      <c r="AA27" s="165"/>
      <c r="AB27" s="23"/>
      <c r="AC27" s="45"/>
      <c r="AD27" s="23"/>
      <c r="AE27" s="45"/>
      <c r="AF27" s="101"/>
      <c r="AG27" s="45"/>
      <c r="AH27" s="45"/>
      <c r="AJ27" s="165"/>
      <c r="AL27" s="165"/>
    </row>
    <row r="28" spans="1:38">
      <c r="A28" s="40"/>
      <c r="B28" s="109"/>
      <c r="C28" s="12"/>
      <c r="D28" s="37"/>
      <c r="E28" s="12"/>
      <c r="F28" s="12"/>
      <c r="G28" s="12"/>
      <c r="H28" s="12"/>
      <c r="I28" s="12"/>
      <c r="J28" s="12"/>
      <c r="K28" s="37"/>
      <c r="L28" s="38"/>
      <c r="M28" s="37"/>
      <c r="N28" s="38"/>
      <c r="O28" s="38"/>
      <c r="P28" s="38"/>
      <c r="Q28" s="38"/>
      <c r="R28" s="38"/>
      <c r="S28" s="37"/>
      <c r="T28" s="37"/>
      <c r="U28" s="38"/>
      <c r="V28" s="37"/>
      <c r="W28" s="38"/>
      <c r="X28" s="37"/>
      <c r="Y28" s="38"/>
      <c r="Z28" s="37"/>
      <c r="AA28" s="166"/>
      <c r="AB28" s="37"/>
      <c r="AC28" s="38"/>
      <c r="AD28" s="37"/>
      <c r="AE28" s="38"/>
      <c r="AF28" s="101"/>
      <c r="AG28" s="38"/>
      <c r="AH28" s="38"/>
      <c r="AJ28" s="166"/>
      <c r="AL28" s="166"/>
    </row>
    <row r="29" spans="1:38" ht="13.5" thickBot="1">
      <c r="A29" s="43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106"/>
      <c r="M29" s="32"/>
      <c r="N29" s="106"/>
      <c r="O29" s="106"/>
      <c r="P29" s="106"/>
      <c r="Q29" s="106"/>
      <c r="R29" s="106"/>
      <c r="S29" s="32"/>
      <c r="T29" s="16"/>
      <c r="U29" s="17"/>
      <c r="V29" s="32"/>
      <c r="W29" s="17"/>
      <c r="X29" s="797"/>
      <c r="Y29" s="93"/>
      <c r="Z29" s="797"/>
      <c r="AA29" s="167"/>
      <c r="AB29" s="798"/>
      <c r="AC29" s="461"/>
      <c r="AD29" s="16"/>
      <c r="AE29" s="17"/>
      <c r="AF29" s="106"/>
      <c r="AG29" s="17"/>
      <c r="AH29" s="17"/>
      <c r="AJ29" s="167"/>
      <c r="AL29" s="167"/>
    </row>
    <row r="30" spans="1:38">
      <c r="A30" s="322"/>
      <c r="B30" s="320"/>
      <c r="C30" s="320"/>
      <c r="D30" s="320"/>
      <c r="E30" s="320"/>
      <c r="F30" s="320"/>
      <c r="G30" s="320"/>
      <c r="H30" s="320"/>
      <c r="I30" s="320"/>
      <c r="J30" s="320"/>
      <c r="K30" s="320"/>
      <c r="L30" s="320"/>
      <c r="M30" s="12"/>
      <c r="N30" s="12"/>
      <c r="O30" s="320"/>
      <c r="P30" s="320"/>
      <c r="Q30" s="320"/>
      <c r="R30" s="320"/>
      <c r="S30" s="320"/>
      <c r="T30" s="413"/>
      <c r="U30" s="413"/>
      <c r="V30" s="320"/>
      <c r="W30" s="413"/>
      <c r="X30" s="413"/>
      <c r="Y30" s="413"/>
      <c r="Z30" s="413"/>
      <c r="AA30" s="413"/>
      <c r="AB30" s="413"/>
      <c r="AC30" s="413"/>
      <c r="AD30" s="413"/>
      <c r="AE30" s="413"/>
      <c r="AF30" s="413"/>
      <c r="AG30" s="413"/>
      <c r="AH30" s="337"/>
    </row>
    <row r="31" spans="1:38">
      <c r="A31" s="212"/>
      <c r="B31" s="108" t="s">
        <v>369</v>
      </c>
      <c r="C31" s="12"/>
      <c r="D31" s="23"/>
      <c r="E31" s="12"/>
      <c r="F31" s="12"/>
      <c r="G31" s="12"/>
      <c r="H31" s="12"/>
      <c r="I31" s="12"/>
      <c r="J31" s="557">
        <v>13232269.330338214</v>
      </c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01"/>
    </row>
    <row r="32" spans="1:38">
      <c r="A32" s="40"/>
      <c r="B32" s="109" t="s">
        <v>370</v>
      </c>
      <c r="C32" s="12"/>
      <c r="D32" s="23"/>
      <c r="E32" s="12"/>
      <c r="F32" s="12"/>
      <c r="G32" s="12"/>
      <c r="H32" s="12"/>
      <c r="I32" s="12"/>
      <c r="J32" s="557">
        <v>21744.467099473291</v>
      </c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01"/>
    </row>
    <row r="33" spans="1:34" ht="13.5" thickBot="1">
      <c r="A33" s="177"/>
      <c r="B33" s="414" t="s">
        <v>267</v>
      </c>
      <c r="C33" s="32"/>
      <c r="D33" s="415"/>
      <c r="E33" s="32"/>
      <c r="F33" s="32"/>
      <c r="G33" s="32"/>
      <c r="H33" s="32"/>
      <c r="I33" s="32"/>
      <c r="J33" s="240">
        <f>(1+A14)*J32</f>
        <v>28584.337634121592</v>
      </c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106"/>
    </row>
    <row r="34" spans="1:34">
      <c r="A34" s="322"/>
      <c r="B34" s="320"/>
      <c r="C34" s="320"/>
      <c r="D34" s="320"/>
      <c r="E34" s="320"/>
      <c r="F34" s="320"/>
      <c r="G34" s="320"/>
      <c r="H34" s="320"/>
      <c r="I34" s="320"/>
      <c r="J34" s="320"/>
      <c r="K34" s="320"/>
      <c r="L34" s="320"/>
      <c r="M34" s="320"/>
      <c r="N34" s="320"/>
      <c r="O34" s="320"/>
      <c r="P34" s="320"/>
      <c r="Q34" s="320"/>
      <c r="R34" s="320"/>
      <c r="S34" s="320"/>
      <c r="T34" s="320"/>
      <c r="U34" s="320"/>
      <c r="V34" s="320"/>
      <c r="W34" s="320"/>
      <c r="X34" s="320"/>
      <c r="Y34" s="320"/>
      <c r="Z34" s="320"/>
      <c r="AA34" s="320"/>
      <c r="AB34" s="320"/>
      <c r="AC34" s="320"/>
      <c r="AD34" s="320"/>
      <c r="AE34" s="320"/>
      <c r="AF34" s="320"/>
      <c r="AG34" s="320"/>
      <c r="AH34" s="575"/>
    </row>
    <row r="35" spans="1:34">
      <c r="A35" s="33" t="s">
        <v>376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01"/>
    </row>
    <row r="36" spans="1:34">
      <c r="A36" s="11"/>
      <c r="B36" s="576" t="s">
        <v>449</v>
      </c>
      <c r="C36" s="12"/>
      <c r="D36" s="12"/>
      <c r="E36" s="12"/>
      <c r="F36" s="113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01"/>
    </row>
    <row r="37" spans="1:34">
      <c r="A37" s="11"/>
      <c r="B37" s="576" t="s">
        <v>450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01"/>
    </row>
    <row r="38" spans="1:34">
      <c r="A38" s="11"/>
      <c r="B38" s="576" t="s">
        <v>462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01"/>
    </row>
    <row r="39" spans="1:34" ht="13.5" thickBot="1">
      <c r="A39" s="15"/>
      <c r="B39" s="597" t="s">
        <v>373</v>
      </c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106"/>
    </row>
  </sheetData>
  <mergeCells count="11">
    <mergeCell ref="A1:AH1"/>
    <mergeCell ref="M2:R2"/>
    <mergeCell ref="B2:L2"/>
    <mergeCell ref="V3:W3"/>
    <mergeCell ref="AB3:AC3"/>
    <mergeCell ref="X3:Y3"/>
    <mergeCell ref="S2:AA2"/>
    <mergeCell ref="S3:U3"/>
    <mergeCell ref="AD3:AE3"/>
    <mergeCell ref="M3:N3"/>
    <mergeCell ref="AB2:AF2"/>
  </mergeCells>
  <phoneticPr fontId="0" type="noConversion"/>
  <printOptions horizontalCentered="1"/>
  <pageMargins left="0.75" right="0.75" top="1" bottom="1" header="0.5" footer="0.5"/>
  <pageSetup scale="44" orientation="portrait" r:id="rId1"/>
  <headerFooter alignWithMargins="0">
    <oddFooter>&amp;L&amp;F
&amp;A&amp;R&amp;P of &amp;N</oddFooter>
  </headerFooter>
  <colBreaks count="2" manualBreakCount="2">
    <brk id="21" max="38" man="1"/>
    <brk id="27" max="38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5">
    <tabColor rgb="FFC00000"/>
    <pageSetUpPr fitToPage="1"/>
  </sheetPr>
  <dimension ref="A1:M63"/>
  <sheetViews>
    <sheetView zoomScaleNormal="100" workbookViewId="0">
      <selection activeCell="N44" sqref="N44"/>
    </sheetView>
  </sheetViews>
  <sheetFormatPr defaultRowHeight="12.75"/>
  <cols>
    <col min="1" max="1" width="29.28515625" customWidth="1"/>
    <col min="2" max="2" width="12.85546875" bestFit="1" customWidth="1"/>
    <col min="3" max="3" width="12" bestFit="1" customWidth="1"/>
    <col min="4" max="4" width="12.28515625" bestFit="1" customWidth="1"/>
    <col min="5" max="5" width="12" bestFit="1" customWidth="1"/>
    <col min="6" max="6" width="12.85546875" bestFit="1" customWidth="1"/>
    <col min="7" max="7" width="8.7109375" bestFit="1" customWidth="1"/>
    <col min="8" max="8" width="9.5703125" customWidth="1"/>
    <col min="9" max="9" width="9" bestFit="1" customWidth="1"/>
    <col min="10" max="10" width="14" bestFit="1" customWidth="1"/>
    <col min="11" max="11" width="11.28515625" bestFit="1" customWidth="1"/>
    <col min="12" max="12" width="12.28515625" bestFit="1" customWidth="1"/>
    <col min="13" max="13" width="11.28515625" bestFit="1" customWidth="1"/>
  </cols>
  <sheetData>
    <row r="1" spans="1:13" ht="18.75" thickBot="1">
      <c r="A1" s="826" t="s">
        <v>54</v>
      </c>
      <c r="B1" s="826"/>
      <c r="C1" s="826"/>
      <c r="D1" s="826"/>
      <c r="E1" s="826"/>
      <c r="F1" s="826"/>
      <c r="G1" s="826"/>
      <c r="H1" s="826"/>
      <c r="I1" s="826"/>
      <c r="J1" s="826"/>
      <c r="K1" s="826"/>
      <c r="L1" s="826"/>
      <c r="M1" s="826"/>
    </row>
    <row r="2" spans="1:13" ht="13.5" thickBot="1">
      <c r="A2" s="1"/>
      <c r="B2" s="827" t="s">
        <v>0</v>
      </c>
      <c r="C2" s="828"/>
      <c r="D2" s="828"/>
      <c r="E2" s="829"/>
      <c r="F2" s="827" t="s">
        <v>1</v>
      </c>
      <c r="G2" s="828"/>
      <c r="H2" s="828"/>
      <c r="I2" s="829"/>
      <c r="J2" s="827" t="s">
        <v>264</v>
      </c>
      <c r="K2" s="828"/>
      <c r="L2" s="828"/>
      <c r="M2" s="829"/>
    </row>
    <row r="3" spans="1:13">
      <c r="A3" s="457"/>
      <c r="B3" s="457"/>
      <c r="C3" s="458"/>
      <c r="D3" s="458"/>
      <c r="E3" s="459" t="s">
        <v>41</v>
      </c>
      <c r="F3" s="457"/>
      <c r="G3" s="458"/>
      <c r="H3" s="458"/>
      <c r="I3" s="459" t="s">
        <v>41</v>
      </c>
      <c r="J3" s="457"/>
      <c r="K3" s="458"/>
      <c r="L3" s="458"/>
      <c r="M3" s="459" t="s">
        <v>41</v>
      </c>
    </row>
    <row r="4" spans="1:13" ht="13.5" thickBot="1">
      <c r="A4" s="2" t="s">
        <v>4</v>
      </c>
      <c r="B4" s="348" t="s">
        <v>36</v>
      </c>
      <c r="C4" s="349" t="s">
        <v>37</v>
      </c>
      <c r="D4" s="349" t="s">
        <v>38</v>
      </c>
      <c r="E4" s="350" t="s">
        <v>39</v>
      </c>
      <c r="F4" s="454" t="s">
        <v>36</v>
      </c>
      <c r="G4" s="455" t="s">
        <v>37</v>
      </c>
      <c r="H4" s="455" t="s">
        <v>38</v>
      </c>
      <c r="I4" s="456" t="s">
        <v>39</v>
      </c>
      <c r="J4" s="454" t="s">
        <v>36</v>
      </c>
      <c r="K4" s="455" t="s">
        <v>37</v>
      </c>
      <c r="L4" s="455" t="s">
        <v>38</v>
      </c>
      <c r="M4" s="456" t="s">
        <v>39</v>
      </c>
    </row>
    <row r="5" spans="1:13">
      <c r="A5" s="5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5" t="s">
        <v>42</v>
      </c>
      <c r="K5" s="6" t="s">
        <v>42</v>
      </c>
      <c r="L5" s="6" t="s">
        <v>42</v>
      </c>
      <c r="M5" s="7" t="s">
        <v>43</v>
      </c>
    </row>
    <row r="6" spans="1:13">
      <c r="A6" s="10"/>
      <c r="B6" s="10"/>
      <c r="C6" s="31"/>
      <c r="D6" s="31"/>
      <c r="E6" s="9"/>
      <c r="F6" s="10"/>
      <c r="G6" s="31"/>
      <c r="H6" s="31"/>
      <c r="I6" s="9"/>
      <c r="J6" s="10"/>
      <c r="K6" s="31"/>
      <c r="L6" s="31"/>
      <c r="M6" s="9"/>
    </row>
    <row r="7" spans="1:13">
      <c r="A7" s="21" t="s">
        <v>5</v>
      </c>
      <c r="B7" s="168">
        <f>'Sch DR TSM'!R7+'Sch DM TSM'!R7+'Sch DS TSM'!R7+'Sch DT TSM'!R7+'Sch DT-RV TSM'!R7+'Sch DR-TOU TSM'!R7+'Sch TOU-DR TSM'!R7+'Sch DR-SES TSM'!R7+'Sch EV-TOU  TSM'!R7+'Sch EV-TOU -2 TSM'!R7</f>
        <v>88144627.124314323</v>
      </c>
      <c r="C7" s="36">
        <f>'Sch DR TSM'!S7+'Sch DM TSM'!S7+'Sch DS TSM'!S7+'Sch DT TSM'!S7+'Sch DT-RV TSM'!S7+'Sch DR-TOU TSM'!S7+'Sch TOU-DR TSM'!S7+'Sch DR-SES TSM'!S7+'Sch EV-TOU  TSM'!S7+'Sch EV-TOU -2 TSM'!S7</f>
        <v>50296412.02804403</v>
      </c>
      <c r="D7" s="36">
        <f>'Sch DR TSM'!T7+'Sch DM TSM'!T7+'Sch DS TSM'!T7+'Sch DT TSM'!T7+'Sch DT-RV TSM'!T7+'Sch DR-TOU TSM'!T7+'Sch TOU-DR TSM'!T7+'Sch DR-SES TSM'!T7+'Sch EV-TOU  TSM'!T7+'Sch EV-TOU -2 TSM'!T7</f>
        <v>88505033.943597302</v>
      </c>
      <c r="E7" s="50">
        <f>IF(SUM(B7:D7)=0,0,SUM(B7:D7)/'Resid Cust Fcst '!BX8)</f>
        <v>632.15471999185434</v>
      </c>
      <c r="F7" s="168">
        <f>'Sch DR TSM'!V7+'Sch DM TSM'!V7+'Sch DS TSM'!V7+'Sch DT TSM'!V7+'Sch DT-RV TSM'!V7+'Sch DR-TOU TSM'!V7+'Sch TOU-DR TSM'!V7+'Sch DR-SES TSM'!V7+'Sch EV-TOU  TSM'!V7+'Sch EV-TOU -2 TSM'!V7</f>
        <v>0</v>
      </c>
      <c r="G7" s="36">
        <f>'Sch DR TSM'!W7+'Sch DM TSM'!W7+'Sch DS TSM'!W7+'Sch DT TSM'!W7+'Sch DT-RV TSM'!W7+'Sch DR-TOU TSM'!W7+'Sch TOU-DR TSM'!W7+'Sch DR-SES TSM'!W7+'Sch EV-TOU  TSM'!W7+'Sch EV-TOU -2 TSM'!W7</f>
        <v>0</v>
      </c>
      <c r="H7" s="36">
        <f>'Sch DR TSM'!X7+'Sch DM TSM'!X7+'Sch DS TSM'!X7+'Sch DT TSM'!X7+'Sch DT-RV TSM'!X7+'Sch DR-TOU TSM'!X7+'Sch TOU-DR TSM'!X7+'Sch DR-SES TSM'!X7+'Sch EV-TOU  TSM'!X7+'Sch EV-TOU -2 TSM'!X7</f>
        <v>0</v>
      </c>
      <c r="I7" s="50">
        <f>IF(SUM(F7:H7)=0,0,SUM(F7:H7)/'Resid Cust Fcst '!BY8)</f>
        <v>0</v>
      </c>
      <c r="J7" s="168">
        <f>B7+F7</f>
        <v>88144627.124314323</v>
      </c>
      <c r="K7" s="36">
        <f>C7+G7</f>
        <v>50296412.02804403</v>
      </c>
      <c r="L7" s="36">
        <f>D7+H7</f>
        <v>88505033.943597302</v>
      </c>
      <c r="M7" s="50">
        <f>IF(SUM(J7:L7)=0,0,SUM(J7:L7)/'Resid Cust Fcst '!BZ8)</f>
        <v>632.15471999185434</v>
      </c>
    </row>
    <row r="8" spans="1:13">
      <c r="A8" s="22" t="s">
        <v>6</v>
      </c>
      <c r="B8" s="168">
        <f>'Sch DR TSM'!R8+'Sch DM TSM'!R8+'Sch DS TSM'!R8+'Sch DT TSM'!R8+'Sch DT-RV TSM'!R8+'Sch DR-TOU TSM'!R8+'Sch TOU-DR TSM'!R8+'Sch DR-SES TSM'!R8+'Sch EV-TOU  TSM'!R8+'Sch EV-TOU -2 TSM'!R8</f>
        <v>491685549.40605891</v>
      </c>
      <c r="C8" s="36">
        <f>'Sch DR TSM'!S8+'Sch DM TSM'!S8+'Sch DS TSM'!S8+'Sch DT TSM'!S8+'Sch DT-RV TSM'!S8+'Sch DR-TOU TSM'!S8+'Sch TOU-DR TSM'!S8+'Sch DR-SES TSM'!S8+'Sch EV-TOU  TSM'!S8+'Sch EV-TOU -2 TSM'!S8</f>
        <v>88915312.82016705</v>
      </c>
      <c r="D8" s="36">
        <f>'Sch DR TSM'!T8+'Sch DM TSM'!T8+'Sch DS TSM'!T8+'Sch DT TSM'!T8+'Sch DT-RV TSM'!T8+'Sch DR-TOU TSM'!T8+'Sch TOU-DR TSM'!T8+'Sch DR-SES TSM'!T8+'Sch EV-TOU  TSM'!T8+'Sch EV-TOU -2 TSM'!T8</f>
        <v>157055507.60347053</v>
      </c>
      <c r="E8" s="50">
        <f>IF(SUM(B8:D8)=0,0,SUM(B8:D8)/'Resid Cust Fcst '!BX9)</f>
        <v>1157.3149862558898</v>
      </c>
      <c r="F8" s="168">
        <f>'Sch DR TSM'!V8+'Sch DM TSM'!V8+'Sch DS TSM'!V8+'Sch DT TSM'!V8+'Sch DT-RV TSM'!V8+'Sch DR-TOU TSM'!V8+'Sch TOU-DR TSM'!V8+'Sch DR-SES TSM'!V8+'Sch EV-TOU  TSM'!V8+'Sch EV-TOU -2 TSM'!V8</f>
        <v>0</v>
      </c>
      <c r="G8" s="36">
        <f>'Sch DR TSM'!W8+'Sch DM TSM'!W8+'Sch DS TSM'!W8+'Sch DT TSM'!W8+'Sch DT-RV TSM'!W8+'Sch DR-TOU TSM'!W8+'Sch TOU-DR TSM'!W8+'Sch DR-SES TSM'!W8+'Sch EV-TOU  TSM'!W8+'Sch EV-TOU -2 TSM'!W8</f>
        <v>0</v>
      </c>
      <c r="H8" s="36">
        <f>'Sch DR TSM'!X8+'Sch DM TSM'!X8+'Sch DS TSM'!X8+'Sch DT TSM'!X8+'Sch DT-RV TSM'!X8+'Sch DR-TOU TSM'!X8+'Sch TOU-DR TSM'!X8+'Sch DR-SES TSM'!X8+'Sch EV-TOU  TSM'!X8+'Sch EV-TOU -2 TSM'!X8</f>
        <v>0</v>
      </c>
      <c r="I8" s="50">
        <f>IF(SUM(F8:H8)=0,0,SUM(F8:H8)/'Resid Cust Fcst '!BY9)</f>
        <v>0</v>
      </c>
      <c r="J8" s="168">
        <f t="shared" ref="J8:J37" si="0">B8+F8</f>
        <v>491685549.40605891</v>
      </c>
      <c r="K8" s="36">
        <f t="shared" ref="K8:K37" si="1">C8+G8</f>
        <v>88915312.82016705</v>
      </c>
      <c r="L8" s="36">
        <f t="shared" ref="L8:L37" si="2">D8+H8</f>
        <v>157055507.60347053</v>
      </c>
      <c r="M8" s="50">
        <f>IF(SUM(J8:L8)=0,0,SUM(J8:L8)/'Resid Cust Fcst '!BZ9)</f>
        <v>1157.3149862558898</v>
      </c>
    </row>
    <row r="9" spans="1:13">
      <c r="A9" s="22" t="s">
        <v>7</v>
      </c>
      <c r="B9" s="168">
        <f>'Sch DR TSM'!R9+'Sch DM TSM'!R9+'Sch DS TSM'!R9+'Sch DT TSM'!R9+'Sch DT-RV TSM'!R9+'Sch DR-TOU TSM'!R9+'Sch TOU-DR TSM'!R9+'Sch DR-SES TSM'!R9+'Sch EV-TOU  TSM'!R9+'Sch EV-TOU -2 TSM'!R9</f>
        <v>160760195.72177717</v>
      </c>
      <c r="C9" s="36">
        <f>'Sch DR TSM'!S9+'Sch DM TSM'!S9+'Sch DS TSM'!S9+'Sch DT TSM'!S9+'Sch DT-RV TSM'!S9+'Sch DR-TOU TSM'!S9+'Sch TOU-DR TSM'!S9+'Sch DR-SES TSM'!S9+'Sch EV-TOU  TSM'!S9+'Sch EV-TOU -2 TSM'!S9</f>
        <v>46701322.904446051</v>
      </c>
      <c r="D9" s="36">
        <f>'Sch DR TSM'!T9+'Sch DM TSM'!T9+'Sch DS TSM'!T9+'Sch DT TSM'!T9+'Sch DT-RV TSM'!T9+'Sch DR-TOU TSM'!T9+'Sch TOU-DR TSM'!T9+'Sch DR-SES TSM'!T9+'Sch EV-TOU  TSM'!T9+'Sch EV-TOU -2 TSM'!T9</f>
        <v>58562028.954592757</v>
      </c>
      <c r="E9" s="50">
        <f>IF(SUM(B9:D9)=0,0,SUM(B9:D9)/'Resid Cust Fcst '!BX10)</f>
        <v>1119.4110045227605</v>
      </c>
      <c r="F9" s="168">
        <f>'Sch DR TSM'!V9+'Sch DM TSM'!V9+'Sch DS TSM'!V9+'Sch DT TSM'!V9+'Sch DT-RV TSM'!V9+'Sch DR-TOU TSM'!V9+'Sch TOU-DR TSM'!V9+'Sch DR-SES TSM'!V9+'Sch EV-TOU  TSM'!V9+'Sch EV-TOU -2 TSM'!V9</f>
        <v>0</v>
      </c>
      <c r="G9" s="36">
        <f>'Sch DR TSM'!W9+'Sch DM TSM'!W9+'Sch DS TSM'!W9+'Sch DT TSM'!W9+'Sch DT-RV TSM'!W9+'Sch DR-TOU TSM'!W9+'Sch TOU-DR TSM'!W9+'Sch DR-SES TSM'!W9+'Sch EV-TOU  TSM'!W9+'Sch EV-TOU -2 TSM'!W9</f>
        <v>0</v>
      </c>
      <c r="H9" s="36">
        <f>'Sch DR TSM'!X9+'Sch DM TSM'!X9+'Sch DS TSM'!X9+'Sch DT TSM'!X9+'Sch DT-RV TSM'!X9+'Sch DR-TOU TSM'!X9+'Sch TOU-DR TSM'!X9+'Sch DR-SES TSM'!X9+'Sch EV-TOU  TSM'!X9+'Sch EV-TOU -2 TSM'!X9</f>
        <v>0</v>
      </c>
      <c r="I9" s="50">
        <f>IF(SUM(F9:H9)=0,0,SUM(F9:H9)/'Resid Cust Fcst '!BY10)</f>
        <v>0</v>
      </c>
      <c r="J9" s="168">
        <f t="shared" si="0"/>
        <v>160760195.72177717</v>
      </c>
      <c r="K9" s="36">
        <f t="shared" si="1"/>
        <v>46701322.904446051</v>
      </c>
      <c r="L9" s="36">
        <f t="shared" si="2"/>
        <v>58562028.954592757</v>
      </c>
      <c r="M9" s="50">
        <f>IF(SUM(J9:L9)=0,0,SUM(J9:L9)/'Resid Cust Fcst '!BZ10)</f>
        <v>1119.4110045227605</v>
      </c>
    </row>
    <row r="10" spans="1:13">
      <c r="A10" s="354" t="s">
        <v>124</v>
      </c>
      <c r="B10" s="168">
        <f>'Sch DR TSM'!R10+'Sch DM TSM'!R10+'Sch DS TSM'!R10+'Sch DT TSM'!R10+'Sch DT-RV TSM'!R10+'Sch DR-TOU TSM'!R10+'Sch TOU-DR TSM'!R10+'Sch DR-SES TSM'!R10+'Sch EV-TOU  TSM'!R10+'Sch EV-TOU -2 TSM'!R10</f>
        <v>50663644.032236874</v>
      </c>
      <c r="C10" s="36">
        <f>'Sch DR TSM'!S10+'Sch DM TSM'!S10+'Sch DS TSM'!S10+'Sch DT TSM'!S10+'Sch DT-RV TSM'!S10+'Sch DR-TOU TSM'!S10+'Sch TOU-DR TSM'!S10+'Sch DR-SES TSM'!S10+'Sch EV-TOU  TSM'!S10+'Sch EV-TOU -2 TSM'!S10</f>
        <v>8069120.4696846996</v>
      </c>
      <c r="D10" s="36">
        <f>'Sch DR TSM'!T10+'Sch DM TSM'!T10+'Sch DS TSM'!T10+'Sch DT TSM'!T10+'Sch DT-RV TSM'!T10+'Sch DR-TOU TSM'!T10+'Sch TOU-DR TSM'!T10+'Sch DR-SES TSM'!T10+'Sch EV-TOU  TSM'!T10+'Sch EV-TOU -2 TSM'!T10</f>
        <v>9244526.2331086006</v>
      </c>
      <c r="E10" s="50">
        <f>IF(SUM(B10:D10)=0,0,SUM(B10:D10)/'Resid Cust Fcst '!BX11)</f>
        <v>1812.6794148164095</v>
      </c>
      <c r="F10" s="168">
        <f>'Sch DR TSM'!V10+'Sch DM TSM'!V10+'Sch DS TSM'!V10+'Sch DT TSM'!V10+'Sch DT-RV TSM'!V10+'Sch DR-TOU TSM'!V10+'Sch TOU-DR TSM'!V10+'Sch DR-SES TSM'!V10+'Sch EV-TOU  TSM'!V10+'Sch EV-TOU -2 TSM'!V10</f>
        <v>0</v>
      </c>
      <c r="G10" s="36">
        <f>'Sch DR TSM'!W10+'Sch DM TSM'!W10+'Sch DS TSM'!W10+'Sch DT TSM'!W10+'Sch DT-RV TSM'!W10+'Sch DR-TOU TSM'!W10+'Sch TOU-DR TSM'!W10+'Sch DR-SES TSM'!W10+'Sch EV-TOU  TSM'!W10+'Sch EV-TOU -2 TSM'!W10</f>
        <v>0</v>
      </c>
      <c r="H10" s="36">
        <f>'Sch DR TSM'!X10+'Sch DM TSM'!X10+'Sch DS TSM'!X10+'Sch DT TSM'!X10+'Sch DT-RV TSM'!X10+'Sch DR-TOU TSM'!X10+'Sch TOU-DR TSM'!X10+'Sch DR-SES TSM'!X10+'Sch EV-TOU  TSM'!X10+'Sch EV-TOU -2 TSM'!X10</f>
        <v>0</v>
      </c>
      <c r="I10" s="50">
        <f>IF(SUM(F10:H10)=0,0,SUM(F10:H10)/'Resid Cust Fcst '!BY11)</f>
        <v>0</v>
      </c>
      <c r="J10" s="168">
        <f t="shared" si="0"/>
        <v>50663644.032236874</v>
      </c>
      <c r="K10" s="36">
        <f t="shared" si="1"/>
        <v>8069120.4696846996</v>
      </c>
      <c r="L10" s="36">
        <f t="shared" si="2"/>
        <v>9244526.2331086006</v>
      </c>
      <c r="M10" s="50">
        <f>IF(SUM(J10:L10)=0,0,SUM(J10:L10)/'Resid Cust Fcst '!BZ11)</f>
        <v>1812.6794148164095</v>
      </c>
    </row>
    <row r="11" spans="1:13">
      <c r="A11" s="21" t="s">
        <v>116</v>
      </c>
      <c r="B11" s="168">
        <f>'Sch DR TSM'!R11+'Sch DM TSM'!R11+'Sch DS TSM'!R11+'Sch DT TSM'!R11+'Sch DT-RV TSM'!R11+'Sch DR-TOU TSM'!R11+'Sch TOU-DR TSM'!R11+'Sch DR-SES TSM'!R11+'Sch EV-TOU  TSM'!R11+'Sch EV-TOU -2 TSM'!R11</f>
        <v>5791982.0156076122</v>
      </c>
      <c r="C11" s="36">
        <f>'Sch DR TSM'!S11+'Sch DM TSM'!S11+'Sch DS TSM'!S11+'Sch DT TSM'!S11+'Sch DT-RV TSM'!S11+'Sch DR-TOU TSM'!S11+'Sch TOU-DR TSM'!S11+'Sch DR-SES TSM'!S11+'Sch EV-TOU  TSM'!S11+'Sch EV-TOU -2 TSM'!S11</f>
        <v>926419.88463346357</v>
      </c>
      <c r="D11" s="36">
        <f>'Sch DR TSM'!T11+'Sch DM TSM'!T11+'Sch DS TSM'!T11+'Sch DT TSM'!T11+'Sch DT-RV TSM'!T11+'Sch DR-TOU TSM'!T11+'Sch TOU-DR TSM'!T11+'Sch DR-SES TSM'!T11+'Sch EV-TOU  TSM'!T11+'Sch EV-TOU -2 TSM'!T11</f>
        <v>1056937.4331040722</v>
      </c>
      <c r="E11" s="50">
        <f>IF(SUM(B11:D11)=0,0,SUM(B11:D11)/'Resid Cust Fcst '!BX12)</f>
        <v>1814.9718331804736</v>
      </c>
      <c r="F11" s="168">
        <f>'Sch DR TSM'!V11+'Sch DM TSM'!V11+'Sch DS TSM'!V11+'Sch DT TSM'!V11+'Sch DT-RV TSM'!V11+'Sch DR-TOU TSM'!V11+'Sch TOU-DR TSM'!V11+'Sch DR-SES TSM'!V11+'Sch EV-TOU  TSM'!V11+'Sch EV-TOU -2 TSM'!V11</f>
        <v>0</v>
      </c>
      <c r="G11" s="36">
        <f>'Sch DR TSM'!W11+'Sch DM TSM'!W11+'Sch DS TSM'!W11+'Sch DT TSM'!W11+'Sch DT-RV TSM'!W11+'Sch DR-TOU TSM'!W11+'Sch TOU-DR TSM'!W11+'Sch DR-SES TSM'!W11+'Sch EV-TOU  TSM'!W11+'Sch EV-TOU -2 TSM'!W11</f>
        <v>0</v>
      </c>
      <c r="H11" s="36">
        <f>'Sch DR TSM'!X11+'Sch DM TSM'!X11+'Sch DS TSM'!X11+'Sch DT TSM'!X11+'Sch DT-RV TSM'!X11+'Sch DR-TOU TSM'!X11+'Sch TOU-DR TSM'!X11+'Sch DR-SES TSM'!X11+'Sch EV-TOU  TSM'!X11+'Sch EV-TOU -2 TSM'!X11</f>
        <v>0</v>
      </c>
      <c r="I11" s="50">
        <f>IF(SUM(F11:H11)=0,0,SUM(F11:H11)/'Resid Cust Fcst '!BY12)</f>
        <v>0</v>
      </c>
      <c r="J11" s="168">
        <f t="shared" si="0"/>
        <v>5791982.0156076122</v>
      </c>
      <c r="K11" s="36">
        <f t="shared" si="1"/>
        <v>926419.88463346357</v>
      </c>
      <c r="L11" s="36">
        <f t="shared" si="2"/>
        <v>1056937.4331040722</v>
      </c>
      <c r="M11" s="50">
        <f>IF(SUM(J11:L11)=0,0,SUM(J11:L11)/'Resid Cust Fcst '!BZ12)</f>
        <v>1814.9718331804736</v>
      </c>
    </row>
    <row r="12" spans="1:13">
      <c r="A12" s="21" t="s">
        <v>8</v>
      </c>
      <c r="B12" s="168">
        <f>'Sch DR TSM'!R12+'Sch DM TSM'!R12+'Sch DS TSM'!R12+'Sch DT TSM'!R12+'Sch DT-RV TSM'!R12+'Sch DR-TOU TSM'!R12+'Sch TOU-DR TSM'!R12+'Sch DR-SES TSM'!R12+'Sch EV-TOU  TSM'!R12+'Sch EV-TOU -2 TSM'!R12</f>
        <v>4705434.7881673351</v>
      </c>
      <c r="C12" s="36">
        <f>'Sch DR TSM'!S12+'Sch DM TSM'!S12+'Sch DS TSM'!S12+'Sch DT TSM'!S12+'Sch DT-RV TSM'!S12+'Sch DR-TOU TSM'!S12+'Sch TOU-DR TSM'!S12+'Sch DR-SES TSM'!S12+'Sch EV-TOU  TSM'!S12+'Sch EV-TOU -2 TSM'!S12</f>
        <v>1702837.2483565474</v>
      </c>
      <c r="D12" s="36">
        <f>'Sch DR TSM'!T12+'Sch DM TSM'!T12+'Sch DS TSM'!T12+'Sch DT TSM'!T12+'Sch DT-RV TSM'!T12+'Sch DR-TOU TSM'!T12+'Sch TOU-DR TSM'!T12+'Sch DR-SES TSM'!T12+'Sch EV-TOU  TSM'!T12+'Sch EV-TOU -2 TSM'!T12</f>
        <v>803705.6414615385</v>
      </c>
      <c r="E12" s="50">
        <f>IF(SUM(B12:D12)=0,0,SUM(B12:D12)/'Resid Cust Fcst '!BX13)</f>
        <v>2229.3594058687545</v>
      </c>
      <c r="F12" s="168">
        <f>'Sch DR TSM'!V12+'Sch DM TSM'!V12+'Sch DS TSM'!V12+'Sch DT TSM'!V12+'Sch DT-RV TSM'!V12+'Sch DR-TOU TSM'!V12+'Sch TOU-DR TSM'!V12+'Sch DR-SES TSM'!V12+'Sch EV-TOU  TSM'!V12+'Sch EV-TOU -2 TSM'!V12</f>
        <v>0</v>
      </c>
      <c r="G12" s="36">
        <f>'Sch DR TSM'!W12+'Sch DM TSM'!W12+'Sch DS TSM'!W12+'Sch DT TSM'!W12+'Sch DT-RV TSM'!W12+'Sch DR-TOU TSM'!W12+'Sch TOU-DR TSM'!W12+'Sch DR-SES TSM'!W12+'Sch EV-TOU  TSM'!W12+'Sch EV-TOU -2 TSM'!W12</f>
        <v>4455.92</v>
      </c>
      <c r="H12" s="36">
        <f>'Sch DR TSM'!X12+'Sch DM TSM'!X12+'Sch DS TSM'!X12+'Sch DT TSM'!X12+'Sch DT-RV TSM'!X12+'Sch DR-TOU TSM'!X12+'Sch TOU-DR TSM'!X12+'Sch DR-SES TSM'!X12+'Sch EV-TOU  TSM'!X12+'Sch EV-TOU -2 TSM'!X12</f>
        <v>2026.08</v>
      </c>
      <c r="I12" s="50">
        <f>IF(SUM(F12:H12)=0,0,SUM(F12:H12)/'Resid Cust Fcst '!BY13)</f>
        <v>3241</v>
      </c>
      <c r="J12" s="168">
        <f t="shared" si="0"/>
        <v>4705434.7881673351</v>
      </c>
      <c r="K12" s="36">
        <f t="shared" si="1"/>
        <v>1707293.1683565474</v>
      </c>
      <c r="L12" s="36">
        <f t="shared" si="2"/>
        <v>805731.72146153846</v>
      </c>
      <c r="M12" s="50">
        <f>IF(SUM(J12:L12)=0,0,SUM(J12:L12)/'Resid Cust Fcst '!BZ13)</f>
        <v>2229.9844541196849</v>
      </c>
    </row>
    <row r="13" spans="1:13">
      <c r="A13" s="21" t="s">
        <v>9</v>
      </c>
      <c r="B13" s="168">
        <f>'Sch DR TSM'!R13+'Sch DM TSM'!R13+'Sch DS TSM'!R13+'Sch DT TSM'!R13+'Sch DT-RV TSM'!R13+'Sch DR-TOU TSM'!R13+'Sch TOU-DR TSM'!R13+'Sch DR-SES TSM'!R13+'Sch EV-TOU  TSM'!R13+'Sch EV-TOU -2 TSM'!R13</f>
        <v>588479.97807156132</v>
      </c>
      <c r="C13" s="36">
        <f>'Sch DR TSM'!S13+'Sch DM TSM'!S13+'Sch DS TSM'!S13+'Sch DT TSM'!S13+'Sch DT-RV TSM'!S13+'Sch DR-TOU TSM'!S13+'Sch TOU-DR TSM'!S13+'Sch DR-SES TSM'!S13+'Sch EV-TOU  TSM'!S13+'Sch EV-TOU -2 TSM'!S13</f>
        <v>261090.63487866474</v>
      </c>
      <c r="D13" s="36">
        <f>'Sch DR TSM'!T13+'Sch DM TSM'!T13+'Sch DS TSM'!T13+'Sch DT TSM'!T13+'Sch DT-RV TSM'!T13+'Sch DR-TOU TSM'!T13+'Sch TOU-DR TSM'!T13+'Sch DR-SES TSM'!T13+'Sch EV-TOU  TSM'!T13+'Sch EV-TOU -2 TSM'!T13</f>
        <v>74114.387049773766</v>
      </c>
      <c r="E13" s="50">
        <f>IF(SUM(B13:D13)=0,0,SUM(B13:D13)/'Resid Cust Fcst '!BX14)</f>
        <v>3240.9999999999991</v>
      </c>
      <c r="F13" s="168">
        <f>'Sch DR TSM'!V13+'Sch DM TSM'!V13+'Sch DS TSM'!V13+'Sch DT TSM'!V13+'Sch DT-RV TSM'!V13+'Sch DR-TOU TSM'!V13+'Sch TOU-DR TSM'!V13+'Sch DR-SES TSM'!V13+'Sch EV-TOU  TSM'!V13+'Sch EV-TOU -2 TSM'!V13</f>
        <v>0</v>
      </c>
      <c r="G13" s="36">
        <f>'Sch DR TSM'!W13+'Sch DM TSM'!W13+'Sch DS TSM'!W13+'Sch DT TSM'!W13+'Sch DT-RV TSM'!W13+'Sch DR-TOU TSM'!W13+'Sch TOU-DR TSM'!W13+'Sch DR-SES TSM'!W13+'Sch EV-TOU  TSM'!W13+'Sch EV-TOU -2 TSM'!W13</f>
        <v>0</v>
      </c>
      <c r="H13" s="36">
        <f>'Sch DR TSM'!X13+'Sch DM TSM'!X13+'Sch DS TSM'!X13+'Sch DT TSM'!X13+'Sch DT-RV TSM'!X13+'Sch DR-TOU TSM'!X13+'Sch TOU-DR TSM'!X13+'Sch DR-SES TSM'!X13+'Sch EV-TOU  TSM'!X13+'Sch EV-TOU -2 TSM'!X13</f>
        <v>0</v>
      </c>
      <c r="I13" s="50">
        <f>IF(SUM(F13:H13)=0,0,SUM(F13:H13)/'Resid Cust Fcst '!BY14)</f>
        <v>0</v>
      </c>
      <c r="J13" s="168">
        <f t="shared" si="0"/>
        <v>588479.97807156132</v>
      </c>
      <c r="K13" s="36">
        <f t="shared" si="1"/>
        <v>261090.63487866474</v>
      </c>
      <c r="L13" s="36">
        <f t="shared" si="2"/>
        <v>74114.387049773766</v>
      </c>
      <c r="M13" s="50">
        <f>IF(SUM(J13:L13)=0,0,SUM(J13:L13)/'Resid Cust Fcst '!BZ14)</f>
        <v>3240.9999999999991</v>
      </c>
    </row>
    <row r="14" spans="1:13">
      <c r="A14" s="21" t="s">
        <v>10</v>
      </c>
      <c r="B14" s="168">
        <f>'Sch DR TSM'!R14+'Sch DM TSM'!R14+'Sch DS TSM'!R14+'Sch DT TSM'!R14+'Sch DT-RV TSM'!R14+'Sch DR-TOU TSM'!R14+'Sch TOU-DR TSM'!R14+'Sch DR-SES TSM'!R14+'Sch EV-TOU  TSM'!R14+'Sch EV-TOU -2 TSM'!R14</f>
        <v>70445.025042931185</v>
      </c>
      <c r="C14" s="36">
        <f>'Sch DR TSM'!S14+'Sch DM TSM'!S14+'Sch DS TSM'!S14+'Sch DT TSM'!S14+'Sch DT-RV TSM'!S14+'Sch DR-TOU TSM'!S14+'Sch TOU-DR TSM'!S14+'Sch DR-SES TSM'!S14+'Sch EV-TOU  TSM'!S14+'Sch EV-TOU -2 TSM'!S14</f>
        <v>86499.964898245293</v>
      </c>
      <c r="D14" s="36">
        <f>'Sch DR TSM'!T14+'Sch DM TSM'!T14+'Sch DS TSM'!T14+'Sch DT TSM'!T14+'Sch DT-RV TSM'!T14+'Sch DR-TOU TSM'!T14+'Sch TOU-DR TSM'!T14+'Sch DR-SES TSM'!T14+'Sch EV-TOU  TSM'!T14+'Sch EV-TOU -2 TSM'!T14</f>
        <v>14828.010058823527</v>
      </c>
      <c r="E14" s="50">
        <f>IF(SUM(B14:D14)=0,0,SUM(B14:D14)/'Resid Cust Fcst '!BX15)</f>
        <v>3241.0000000000005</v>
      </c>
      <c r="F14" s="168">
        <f>'Sch DR TSM'!V14+'Sch DM TSM'!V14+'Sch DS TSM'!V14+'Sch DT TSM'!V14+'Sch DT-RV TSM'!V14+'Sch DR-TOU TSM'!V14+'Sch TOU-DR TSM'!V14+'Sch DR-SES TSM'!V14+'Sch EV-TOU  TSM'!V14+'Sch EV-TOU -2 TSM'!V14</f>
        <v>0</v>
      </c>
      <c r="G14" s="36">
        <f>'Sch DR TSM'!W14+'Sch DM TSM'!W14+'Sch DS TSM'!W14+'Sch DT TSM'!W14+'Sch DT-RV TSM'!W14+'Sch DR-TOU TSM'!W14+'Sch TOU-DR TSM'!W14+'Sch DR-SES TSM'!W14+'Sch EV-TOU  TSM'!W14+'Sch EV-TOU -2 TSM'!W14</f>
        <v>8911.84</v>
      </c>
      <c r="H14" s="36">
        <f>'Sch DR TSM'!X14+'Sch DM TSM'!X14+'Sch DS TSM'!X14+'Sch DT TSM'!X14+'Sch DT-RV TSM'!X14+'Sch DR-TOU TSM'!X14+'Sch TOU-DR TSM'!X14+'Sch DR-SES TSM'!X14+'Sch EV-TOU  TSM'!X14+'Sch EV-TOU -2 TSM'!X14</f>
        <v>4052.16</v>
      </c>
      <c r="I14" s="50">
        <f>IF(SUM(F14:H14)=0,0,SUM(F14:H14)/'Resid Cust Fcst '!BY15)</f>
        <v>3241</v>
      </c>
      <c r="J14" s="168">
        <f t="shared" si="0"/>
        <v>70445.025042931185</v>
      </c>
      <c r="K14" s="36">
        <f t="shared" si="1"/>
        <v>95411.804898245289</v>
      </c>
      <c r="L14" s="36">
        <f t="shared" si="2"/>
        <v>18880.170058823525</v>
      </c>
      <c r="M14" s="50">
        <f>IF(SUM(J14:L14)=0,0,SUM(J14:L14)/'Resid Cust Fcst '!BZ15)</f>
        <v>3241</v>
      </c>
    </row>
    <row r="15" spans="1:13">
      <c r="A15" s="21" t="s">
        <v>11</v>
      </c>
      <c r="B15" s="168">
        <f>'Sch DR TSM'!R15+'Sch DM TSM'!R15+'Sch DS TSM'!R15+'Sch DT TSM'!R15+'Sch DT-RV TSM'!R15+'Sch DR-TOU TSM'!R15+'Sch TOU-DR TSM'!R15+'Sch DR-SES TSM'!R15+'Sch EV-TOU  TSM'!R15+'Sch EV-TOU -2 TSM'!R15</f>
        <v>30985.916983987328</v>
      </c>
      <c r="C15" s="36">
        <f>'Sch DR TSM'!S15+'Sch DM TSM'!S15+'Sch DS TSM'!S15+'Sch DT TSM'!S15+'Sch DT-RV TSM'!S15+'Sch DR-TOU TSM'!S15+'Sch TOU-DR TSM'!S15+'Sch DR-SES TSM'!S15+'Sch EV-TOU  TSM'!S15+'Sch EV-TOU -2 TSM'!S15</f>
        <v>116847.86629655564</v>
      </c>
      <c r="D15" s="36">
        <f>'Sch DR TSM'!T15+'Sch DM TSM'!T15+'Sch DS TSM'!T15+'Sch DT TSM'!T15+'Sch DT-RV TSM'!T15+'Sch DR-TOU TSM'!T15+'Sch TOU-DR TSM'!T15+'Sch DR-SES TSM'!T15+'Sch EV-TOU  TSM'!T15+'Sch EV-TOU -2 TSM'!T15</f>
        <v>14216.216719457014</v>
      </c>
      <c r="E15" s="50">
        <f>IF(SUM(B15:D15)=0,0,SUM(B15:D15)/'Resid Cust Fcst '!BX16)</f>
        <v>3240.9999999999995</v>
      </c>
      <c r="F15" s="168">
        <f>'Sch DR TSM'!V15+'Sch DM TSM'!V15+'Sch DS TSM'!V15+'Sch DT TSM'!V15+'Sch DT-RV TSM'!V15+'Sch DR-TOU TSM'!V15+'Sch TOU-DR TSM'!V15+'Sch DR-SES TSM'!V15+'Sch EV-TOU  TSM'!V15+'Sch EV-TOU -2 TSM'!V15</f>
        <v>0</v>
      </c>
      <c r="G15" s="36">
        <f>'Sch DR TSM'!W15+'Sch DM TSM'!W15+'Sch DS TSM'!W15+'Sch DT TSM'!W15+'Sch DT-RV TSM'!W15+'Sch DR-TOU TSM'!W15+'Sch TOU-DR TSM'!W15+'Sch DR-SES TSM'!W15+'Sch EV-TOU  TSM'!W15+'Sch EV-TOU -2 TSM'!W15</f>
        <v>11139.8</v>
      </c>
      <c r="H15" s="36">
        <f>'Sch DR TSM'!X15+'Sch DM TSM'!X15+'Sch DS TSM'!X15+'Sch DT TSM'!X15+'Sch DT-RV TSM'!X15+'Sch DR-TOU TSM'!X15+'Sch TOU-DR TSM'!X15+'Sch DR-SES TSM'!X15+'Sch EV-TOU  TSM'!X15+'Sch EV-TOU -2 TSM'!X15</f>
        <v>5065.2</v>
      </c>
      <c r="I15" s="50">
        <f>IF(SUM(F15:H15)=0,0,SUM(F15:H15)/'Resid Cust Fcst '!BY16)</f>
        <v>3241</v>
      </c>
      <c r="J15" s="168">
        <f t="shared" si="0"/>
        <v>30985.916983987328</v>
      </c>
      <c r="K15" s="36">
        <f t="shared" si="1"/>
        <v>127987.66629655565</v>
      </c>
      <c r="L15" s="36">
        <f t="shared" si="2"/>
        <v>19281.416719457015</v>
      </c>
      <c r="M15" s="50">
        <f>IF(SUM(J15:L15)=0,0,SUM(J15:L15)/'Resid Cust Fcst '!BZ16)</f>
        <v>3241</v>
      </c>
    </row>
    <row r="16" spans="1:13">
      <c r="A16" s="21" t="s">
        <v>120</v>
      </c>
      <c r="B16" s="168">
        <f>'Sch DR TSM'!R16+'Sch DM TSM'!R16+'Sch DS TSM'!R16+'Sch DT TSM'!R16+'Sch DT-RV TSM'!R16+'Sch DR-TOU TSM'!R16+'Sch TOU-DR TSM'!R16+'Sch DR-SES TSM'!R16+'Sch EV-TOU  TSM'!R16+'Sch EV-TOU -2 TSM'!R16</f>
        <v>14899.236425110726</v>
      </c>
      <c r="C16" s="36">
        <f>'Sch DR TSM'!S16+'Sch DM TSM'!S16+'Sch DS TSM'!S16+'Sch DT TSM'!S16+'Sch DT-RV TSM'!S16+'Sch DR-TOU TSM'!S16+'Sch TOU-DR TSM'!S16+'Sch DR-SES TSM'!S16+'Sch EV-TOU  TSM'!S16+'Sch EV-TOU -2 TSM'!S16</f>
        <v>61695.070217423206</v>
      </c>
      <c r="D16" s="36">
        <f>'Sch DR TSM'!T16+'Sch DM TSM'!T16+'Sch DS TSM'!T16+'Sch DT TSM'!T16+'Sch DT-RV TSM'!T16+'Sch DR-TOU TSM'!T16+'Sch TOU-DR TSM'!T16+'Sch DR-SES TSM'!T16+'Sch EV-TOU  TSM'!T16+'Sch EV-TOU -2 TSM'!T16</f>
        <v>7671.6933574660625</v>
      </c>
      <c r="E16" s="50">
        <f>IF(SUM(B16:D16)=0,0,SUM(B16:D16)/'Resid Cust Fcst '!BX17)</f>
        <v>3241</v>
      </c>
      <c r="F16" s="168">
        <f>'Sch DR TSM'!V16+'Sch DM TSM'!V16+'Sch DS TSM'!V16+'Sch DT TSM'!V16+'Sch DT-RV TSM'!V16+'Sch DR-TOU TSM'!V16+'Sch TOU-DR TSM'!V16+'Sch DR-SES TSM'!V16+'Sch EV-TOU  TSM'!V16+'Sch EV-TOU -2 TSM'!V16</f>
        <v>0</v>
      </c>
      <c r="G16" s="36">
        <f>'Sch DR TSM'!W16+'Sch DM TSM'!W16+'Sch DS TSM'!W16+'Sch DT TSM'!W16+'Sch DT-RV TSM'!W16+'Sch DR-TOU TSM'!W16+'Sch TOU-DR TSM'!W16+'Sch DR-SES TSM'!W16+'Sch EV-TOU  TSM'!W16+'Sch EV-TOU -2 TSM'!W16</f>
        <v>15595.72</v>
      </c>
      <c r="H16" s="36">
        <f>'Sch DR TSM'!X16+'Sch DM TSM'!X16+'Sch DS TSM'!X16+'Sch DT TSM'!X16+'Sch DT-RV TSM'!X16+'Sch DR-TOU TSM'!X16+'Sch TOU-DR TSM'!X16+'Sch DR-SES TSM'!X16+'Sch EV-TOU  TSM'!X16+'Sch EV-TOU -2 TSM'!X16</f>
        <v>7091.28</v>
      </c>
      <c r="I16" s="50">
        <f>IF(SUM(F16:H16)=0,0,SUM(F16:H16)/'Resid Cust Fcst '!BY17)</f>
        <v>3241</v>
      </c>
      <c r="J16" s="168">
        <f t="shared" si="0"/>
        <v>14899.236425110726</v>
      </c>
      <c r="K16" s="36">
        <f t="shared" si="1"/>
        <v>77290.7902174232</v>
      </c>
      <c r="L16" s="36">
        <f t="shared" si="2"/>
        <v>14762.973357466062</v>
      </c>
      <c r="M16" s="50">
        <f>IF(SUM(J16:L16)=0,0,SUM(J16:L16)/'Resid Cust Fcst '!BZ17)</f>
        <v>3240.9999999999995</v>
      </c>
    </row>
    <row r="17" spans="1:13">
      <c r="A17" s="21" t="s">
        <v>121</v>
      </c>
      <c r="B17" s="168">
        <f>'Sch DR TSM'!R17+'Sch DM TSM'!R17+'Sch DS TSM'!R17+'Sch DT TSM'!R17+'Sch DT-RV TSM'!R17+'Sch DR-TOU TSM'!R17+'Sch TOU-DR TSM'!R17+'Sch DR-SES TSM'!R17+'Sch EV-TOU  TSM'!R17+'Sch EV-TOU -2 TSM'!R17</f>
        <v>1403.515557206325</v>
      </c>
      <c r="C17" s="36">
        <f>'Sch DR TSM'!S17+'Sch DM TSM'!S17+'Sch DS TSM'!S17+'Sch DT TSM'!S17+'Sch DT-RV TSM'!S17+'Sch DR-TOU TSM'!S17+'Sch TOU-DR TSM'!S17+'Sch DR-SES TSM'!S17+'Sch EV-TOU  TSM'!S17+'Sch EV-TOU -2 TSM'!S17</f>
        <v>35878.144442793666</v>
      </c>
      <c r="D17" s="36">
        <f>'Sch DR TSM'!T17+'Sch DM TSM'!T17+'Sch DS TSM'!T17+'Sch DT TSM'!T17+'Sch DT-RV TSM'!T17+'Sch DR-TOU TSM'!T17+'Sch TOU-DR TSM'!T17+'Sch DR-SES TSM'!T17+'Sch EV-TOU  TSM'!T17+'Sch EV-TOU -2 TSM'!T17</f>
        <v>4851.34</v>
      </c>
      <c r="E17" s="50">
        <f>IF(SUM(B17:D17)=0,0,SUM(B17:D17)/'Resid Cust Fcst '!BX18)</f>
        <v>3240.9999999999991</v>
      </c>
      <c r="F17" s="168">
        <f>'Sch DR TSM'!V17+'Sch DM TSM'!V17+'Sch DS TSM'!V17+'Sch DT TSM'!V17+'Sch DT-RV TSM'!V17+'Sch DR-TOU TSM'!V17+'Sch TOU-DR TSM'!V17+'Sch DR-SES TSM'!V17+'Sch EV-TOU  TSM'!V17+'Sch EV-TOU -2 TSM'!V17</f>
        <v>0</v>
      </c>
      <c r="G17" s="36">
        <f>'Sch DR TSM'!W17+'Sch DM TSM'!W17+'Sch DS TSM'!W17+'Sch DT TSM'!W17+'Sch DT-RV TSM'!W17+'Sch DR-TOU TSM'!W17+'Sch TOU-DR TSM'!W17+'Sch DR-SES TSM'!W17+'Sch EV-TOU  TSM'!W17+'Sch EV-TOU -2 TSM'!W17</f>
        <v>8911.84</v>
      </c>
      <c r="H17" s="36">
        <f>'Sch DR TSM'!X17+'Sch DM TSM'!X17+'Sch DS TSM'!X17+'Sch DT TSM'!X17+'Sch DT-RV TSM'!X17+'Sch DR-TOU TSM'!X17+'Sch TOU-DR TSM'!X17+'Sch DR-SES TSM'!X17+'Sch EV-TOU  TSM'!X17+'Sch EV-TOU -2 TSM'!X17</f>
        <v>4052.16</v>
      </c>
      <c r="I17" s="50">
        <f>IF(SUM(F17:H17)=0,0,SUM(F17:H17)/'Resid Cust Fcst '!BY18)</f>
        <v>3241</v>
      </c>
      <c r="J17" s="168">
        <f t="shared" si="0"/>
        <v>1403.515557206325</v>
      </c>
      <c r="K17" s="36">
        <f t="shared" si="1"/>
        <v>44789.984442793662</v>
      </c>
      <c r="L17" s="36">
        <f t="shared" si="2"/>
        <v>8903.5</v>
      </c>
      <c r="M17" s="50">
        <f>IF(SUM(J17:L17)=0,0,SUM(J17:L17)/'Resid Cust Fcst '!BZ18)</f>
        <v>3240.9999999999991</v>
      </c>
    </row>
    <row r="18" spans="1:13">
      <c r="A18" s="21" t="s">
        <v>12</v>
      </c>
      <c r="B18" s="168">
        <f>'Sch DR TSM'!R18+'Sch DM TSM'!R18+'Sch DS TSM'!R18+'Sch DT TSM'!R18+'Sch DT-RV TSM'!R18+'Sch DR-TOU TSM'!R18+'Sch TOU-DR TSM'!R18+'Sch DR-SES TSM'!R18+'Sch EV-TOU  TSM'!R18+'Sch EV-TOU -2 TSM'!R18</f>
        <v>0</v>
      </c>
      <c r="C18" s="36">
        <f>'Sch DR TSM'!S18+'Sch DM TSM'!S18+'Sch DS TSM'!S18+'Sch DT TSM'!S18+'Sch DT-RV TSM'!S18+'Sch DR-TOU TSM'!S18+'Sch TOU-DR TSM'!S18+'Sch DR-SES TSM'!S18+'Sch EV-TOU  TSM'!S18+'Sch EV-TOU -2 TSM'!S18</f>
        <v>57356.399999999994</v>
      </c>
      <c r="D18" s="36">
        <f>'Sch DR TSM'!T18+'Sch DM TSM'!T18+'Sch DS TSM'!T18+'Sch DT TSM'!T18+'Sch DT-RV TSM'!T18+'Sch DR-TOU TSM'!T18+'Sch TOU-DR TSM'!T18+'Sch DR-SES TSM'!T18+'Sch EV-TOU  TSM'!T18+'Sch EV-TOU -2 TSM'!T18</f>
        <v>7463.6</v>
      </c>
      <c r="E18" s="50">
        <f>IF(SUM(B18:D18)=0,0,SUM(B18:D18)/'Resid Cust Fcst '!BX19)</f>
        <v>3240.9999999999995</v>
      </c>
      <c r="F18" s="168">
        <f>'Sch DR TSM'!V18+'Sch DM TSM'!V18+'Sch DS TSM'!V18+'Sch DT TSM'!V18+'Sch DT-RV TSM'!V18+'Sch DR-TOU TSM'!V18+'Sch TOU-DR TSM'!V18+'Sch DR-SES TSM'!V18+'Sch EV-TOU  TSM'!V18+'Sch EV-TOU -2 TSM'!V18</f>
        <v>0</v>
      </c>
      <c r="G18" s="36">
        <f>'Sch DR TSM'!W18+'Sch DM TSM'!W18+'Sch DS TSM'!W18+'Sch DT TSM'!W18+'Sch DT-RV TSM'!W18+'Sch DR-TOU TSM'!W18+'Sch TOU-DR TSM'!W18+'Sch DR-SES TSM'!W18+'Sch EV-TOU  TSM'!W18+'Sch EV-TOU -2 TSM'!W18</f>
        <v>15595.720000000001</v>
      </c>
      <c r="H18" s="36">
        <f>'Sch DR TSM'!X18+'Sch DM TSM'!X18+'Sch DS TSM'!X18+'Sch DT TSM'!X18+'Sch DT-RV TSM'!X18+'Sch DR-TOU TSM'!X18+'Sch TOU-DR TSM'!X18+'Sch DR-SES TSM'!X18+'Sch EV-TOU  TSM'!X18+'Sch EV-TOU -2 TSM'!X18</f>
        <v>7091.28</v>
      </c>
      <c r="I18" s="50">
        <f>IF(SUM(F18:H18)=0,0,SUM(F18:H18)/'Resid Cust Fcst '!BY19)</f>
        <v>3241</v>
      </c>
      <c r="J18" s="168">
        <f t="shared" si="0"/>
        <v>0</v>
      </c>
      <c r="K18" s="36">
        <f t="shared" si="1"/>
        <v>72952.12</v>
      </c>
      <c r="L18" s="36">
        <f t="shared" si="2"/>
        <v>14554.880000000001</v>
      </c>
      <c r="M18" s="50">
        <f>IF(SUM(J18:L18)=0,0,SUM(J18:L18)/'Resid Cust Fcst '!BZ19)</f>
        <v>3241</v>
      </c>
    </row>
    <row r="19" spans="1:13">
      <c r="A19" s="132" t="s">
        <v>13</v>
      </c>
      <c r="B19" s="168">
        <f>'Sch DR TSM'!R19+'Sch DM TSM'!R19+'Sch DS TSM'!R19+'Sch DT TSM'!R19+'Sch DT-RV TSM'!R19+'Sch DR-TOU TSM'!R19+'Sch TOU-DR TSM'!R19+'Sch DR-SES TSM'!R19+'Sch EV-TOU  TSM'!R19+'Sch EV-TOU -2 TSM'!R19</f>
        <v>0</v>
      </c>
      <c r="C19" s="36">
        <f>'Sch DR TSM'!S19+'Sch DM TSM'!S19+'Sch DS TSM'!S19+'Sch DT TSM'!S19+'Sch DT-RV TSM'!S19+'Sch DR-TOU TSM'!S19+'Sch TOU-DR TSM'!S19+'Sch DR-SES TSM'!S19+'Sch EV-TOU  TSM'!S19+'Sch EV-TOU -2 TSM'!S19</f>
        <v>34413.840000000011</v>
      </c>
      <c r="D19" s="36">
        <f>'Sch DR TSM'!T19+'Sch DM TSM'!T19+'Sch DS TSM'!T19+'Sch DT TSM'!T19+'Sch DT-RV TSM'!T19+'Sch DR-TOU TSM'!T19+'Sch TOU-DR TSM'!T19+'Sch DR-SES TSM'!T19+'Sch EV-TOU  TSM'!T19+'Sch EV-TOU -2 TSM'!T19</f>
        <v>4478.1600000000008</v>
      </c>
      <c r="E19" s="50">
        <f>IF(SUM(B19:D19)=0,0,SUM(B19:D19)/'Resid Cust Fcst '!BX20)</f>
        <v>3241.0000000000014</v>
      </c>
      <c r="F19" s="168">
        <f>'Sch DR TSM'!V19+'Sch DM TSM'!V19+'Sch DS TSM'!V19+'Sch DT TSM'!V19+'Sch DT-RV TSM'!V19+'Sch DR-TOU TSM'!V19+'Sch TOU-DR TSM'!V19+'Sch DR-SES TSM'!V19+'Sch EV-TOU  TSM'!V19+'Sch EV-TOU -2 TSM'!V19</f>
        <v>0</v>
      </c>
      <c r="G19" s="36">
        <f>'Sch DR TSM'!W19+'Sch DM TSM'!W19+'Sch DS TSM'!W19+'Sch DT TSM'!W19+'Sch DT-RV TSM'!W19+'Sch DR-TOU TSM'!W19+'Sch TOU-DR TSM'!W19+'Sch DR-SES TSM'!W19+'Sch EV-TOU  TSM'!W19+'Sch EV-TOU -2 TSM'!W19</f>
        <v>17823.68</v>
      </c>
      <c r="H19" s="36">
        <f>'Sch DR TSM'!X19+'Sch DM TSM'!X19+'Sch DS TSM'!X19+'Sch DT TSM'!X19+'Sch DT-RV TSM'!X19+'Sch DR-TOU TSM'!X19+'Sch TOU-DR TSM'!X19+'Sch DR-SES TSM'!X19+'Sch EV-TOU  TSM'!X19+'Sch EV-TOU -2 TSM'!X19</f>
        <v>8104.32</v>
      </c>
      <c r="I19" s="50">
        <f>IF(SUM(F19:H19)=0,0,SUM(F19:H19)/'Resid Cust Fcst '!BY20)</f>
        <v>3241</v>
      </c>
      <c r="J19" s="168">
        <f t="shared" si="0"/>
        <v>0</v>
      </c>
      <c r="K19" s="36">
        <f t="shared" si="1"/>
        <v>52237.520000000011</v>
      </c>
      <c r="L19" s="36">
        <f t="shared" si="2"/>
        <v>12582.48</v>
      </c>
      <c r="M19" s="50">
        <f>IF(SUM(J19:L19)=0,0,SUM(J19:L19)/'Resid Cust Fcst '!BZ20)</f>
        <v>3241.0000000000009</v>
      </c>
    </row>
    <row r="20" spans="1:13">
      <c r="A20" s="21" t="s">
        <v>122</v>
      </c>
      <c r="B20" s="168">
        <f>'Sch DR TSM'!R20+'Sch DM TSM'!R20+'Sch DS TSM'!R20+'Sch DT TSM'!R20+'Sch DT-RV TSM'!R20+'Sch DR-TOU TSM'!R20+'Sch TOU-DR TSM'!R20+'Sch DR-SES TSM'!R20+'Sch EV-TOU  TSM'!R20+'Sch EV-TOU -2 TSM'!R20</f>
        <v>0</v>
      </c>
      <c r="C20" s="36">
        <f>'Sch DR TSM'!S20+'Sch DM TSM'!S20+'Sch DS TSM'!S20+'Sch DT TSM'!S20+'Sch DT-RV TSM'!S20+'Sch DR-TOU TSM'!S20+'Sch TOU-DR TSM'!S20+'Sch DR-SES TSM'!S20+'Sch EV-TOU  TSM'!S20+'Sch EV-TOU -2 TSM'!S20</f>
        <v>20074.740000000005</v>
      </c>
      <c r="D20" s="36">
        <f>'Sch DR TSM'!T20+'Sch DM TSM'!T20+'Sch DS TSM'!T20+'Sch DT TSM'!T20+'Sch DT-RV TSM'!T20+'Sch DR-TOU TSM'!T20+'Sch TOU-DR TSM'!T20+'Sch DR-SES TSM'!T20+'Sch EV-TOU  TSM'!T20+'Sch EV-TOU -2 TSM'!T20</f>
        <v>2612.2599999999998</v>
      </c>
      <c r="E20" s="50">
        <f>IF(SUM(B20:D20)=0,0,SUM(B20:D20)/'Resid Cust Fcst '!BX21)</f>
        <v>3241.0000000000005</v>
      </c>
      <c r="F20" s="168">
        <f>'Sch DR TSM'!V20+'Sch DM TSM'!V20+'Sch DS TSM'!V20+'Sch DT TSM'!V20+'Sch DT-RV TSM'!V20+'Sch DR-TOU TSM'!V20+'Sch TOU-DR TSM'!V20+'Sch DR-SES TSM'!V20+'Sch EV-TOU  TSM'!V20+'Sch EV-TOU -2 TSM'!V20</f>
        <v>0</v>
      </c>
      <c r="G20" s="36">
        <f>'Sch DR TSM'!W20+'Sch DM TSM'!W20+'Sch DS TSM'!W20+'Sch DT TSM'!W20+'Sch DT-RV TSM'!W20+'Sch DR-TOU TSM'!W20+'Sch TOU-DR TSM'!W20+'Sch DR-SES TSM'!W20+'Sch EV-TOU  TSM'!W20+'Sch EV-TOU -2 TSM'!W20</f>
        <v>4455.92</v>
      </c>
      <c r="H20" s="36">
        <f>'Sch DR TSM'!X20+'Sch DM TSM'!X20+'Sch DS TSM'!X20+'Sch DT TSM'!X20+'Sch DT-RV TSM'!X20+'Sch DR-TOU TSM'!X20+'Sch TOU-DR TSM'!X20+'Sch DR-SES TSM'!X20+'Sch EV-TOU  TSM'!X20+'Sch EV-TOU -2 TSM'!X20</f>
        <v>2026.08</v>
      </c>
      <c r="I20" s="50">
        <f>IF(SUM(F20:H20)=0,0,SUM(F20:H20)/'Resid Cust Fcst '!BY21)</f>
        <v>3241</v>
      </c>
      <c r="J20" s="168">
        <f t="shared" si="0"/>
        <v>0</v>
      </c>
      <c r="K20" s="36">
        <f t="shared" si="1"/>
        <v>24530.660000000003</v>
      </c>
      <c r="L20" s="36">
        <f t="shared" si="2"/>
        <v>4638.34</v>
      </c>
      <c r="M20" s="50">
        <f>IF(SUM(J20:L20)=0,0,SUM(J20:L20)/'Resid Cust Fcst '!BZ21)</f>
        <v>3241.0000000000005</v>
      </c>
    </row>
    <row r="21" spans="1:13">
      <c r="A21" s="21" t="s">
        <v>123</v>
      </c>
      <c r="B21" s="168">
        <f>'Sch DR TSM'!R21+'Sch DM TSM'!R21+'Sch DS TSM'!R21+'Sch DT TSM'!R21+'Sch DT-RV TSM'!R21+'Sch DR-TOU TSM'!R21+'Sch TOU-DR TSM'!R21+'Sch DR-SES TSM'!R21+'Sch EV-TOU  TSM'!R21+'Sch EV-TOU -2 TSM'!R21</f>
        <v>0</v>
      </c>
      <c r="C21" s="36">
        <f>'Sch DR TSM'!S21+'Sch DM TSM'!S21+'Sch DS TSM'!S21+'Sch DT TSM'!S21+'Sch DT-RV TSM'!S21+'Sch DR-TOU TSM'!S21+'Sch TOU-DR TSM'!S21+'Sch DR-SES TSM'!S21+'Sch EV-TOU  TSM'!S21+'Sch EV-TOU -2 TSM'!S21</f>
        <v>0</v>
      </c>
      <c r="D21" s="36">
        <f>'Sch DR TSM'!T21+'Sch DM TSM'!T21+'Sch DS TSM'!T21+'Sch DT TSM'!T21+'Sch DT-RV TSM'!T21+'Sch DR-TOU TSM'!T21+'Sch TOU-DR TSM'!T21+'Sch DR-SES TSM'!T21+'Sch EV-TOU  TSM'!T21+'Sch EV-TOU -2 TSM'!T21</f>
        <v>0</v>
      </c>
      <c r="E21" s="50">
        <f>IF(SUM(B21:D21)=0,0,SUM(B21:D21)/'Resid Cust Fcst '!BX22)</f>
        <v>0</v>
      </c>
      <c r="F21" s="168">
        <f>'Sch DR TSM'!V21+'Sch DM TSM'!V21+'Sch DS TSM'!V21+'Sch DT TSM'!V21+'Sch DT-RV TSM'!V21+'Sch DR-TOU TSM'!V21+'Sch TOU-DR TSM'!V21+'Sch DR-SES TSM'!V21+'Sch EV-TOU  TSM'!V21+'Sch EV-TOU -2 TSM'!V21</f>
        <v>0</v>
      </c>
      <c r="G21" s="36">
        <f>'Sch DR TSM'!W21+'Sch DM TSM'!W21+'Sch DS TSM'!W21+'Sch DT TSM'!W21+'Sch DT-RV TSM'!W21+'Sch DR-TOU TSM'!W21+'Sch TOU-DR TSM'!W21+'Sch DR-SES TSM'!W21+'Sch EV-TOU  TSM'!W21+'Sch EV-TOU -2 TSM'!W21</f>
        <v>6683.88</v>
      </c>
      <c r="H21" s="36">
        <f>'Sch DR TSM'!X21+'Sch DM TSM'!X21+'Sch DS TSM'!X21+'Sch DT TSM'!X21+'Sch DT-RV TSM'!X21+'Sch DR-TOU TSM'!X21+'Sch TOU-DR TSM'!X21+'Sch DR-SES TSM'!X21+'Sch EV-TOU  TSM'!X21+'Sch EV-TOU -2 TSM'!X21</f>
        <v>3039.12</v>
      </c>
      <c r="I21" s="50">
        <f>IF(SUM(F21:H21)=0,0,SUM(F21:H21)/'Resid Cust Fcst '!BY22)</f>
        <v>3241</v>
      </c>
      <c r="J21" s="168">
        <f t="shared" si="0"/>
        <v>0</v>
      </c>
      <c r="K21" s="36">
        <f t="shared" si="1"/>
        <v>6683.88</v>
      </c>
      <c r="L21" s="36">
        <f t="shared" si="2"/>
        <v>3039.12</v>
      </c>
      <c r="M21" s="50">
        <f>IF(SUM(J21:L21)=0,0,SUM(J21:L21)/'Resid Cust Fcst '!BZ22)</f>
        <v>3241</v>
      </c>
    </row>
    <row r="22" spans="1:13">
      <c r="A22" s="21" t="s">
        <v>14</v>
      </c>
      <c r="B22" s="168">
        <f>'Sch DR TSM'!R22+'Sch DM TSM'!R22+'Sch DS TSM'!R22+'Sch DT TSM'!R22+'Sch DT-RV TSM'!R22+'Sch DR-TOU TSM'!R22+'Sch TOU-DR TSM'!R22+'Sch DR-SES TSM'!R22+'Sch EV-TOU  TSM'!R22+'Sch EV-TOU -2 TSM'!R22</f>
        <v>0</v>
      </c>
      <c r="C22" s="36">
        <f>'Sch DR TSM'!S22+'Sch DM TSM'!S22+'Sch DS TSM'!S22+'Sch DT TSM'!S22+'Sch DT-RV TSM'!S22+'Sch DR-TOU TSM'!S22+'Sch TOU-DR TSM'!S22+'Sch DR-SES TSM'!S22+'Sch EV-TOU  TSM'!S22+'Sch EV-TOU -2 TSM'!S22</f>
        <v>11471.279999999993</v>
      </c>
      <c r="D22" s="36">
        <f>'Sch DR TSM'!T22+'Sch DM TSM'!T22+'Sch DS TSM'!T22+'Sch DT TSM'!T22+'Sch DT-RV TSM'!T22+'Sch DR-TOU TSM'!T22+'Sch TOU-DR TSM'!T22+'Sch DR-SES TSM'!T22+'Sch EV-TOU  TSM'!T22+'Sch EV-TOU -2 TSM'!T22</f>
        <v>1492.72</v>
      </c>
      <c r="E22" s="50">
        <f>IF(SUM(B22:D22)=0,0,SUM(B22:D22)/'Resid Cust Fcst '!BX23)</f>
        <v>3240.9999999999982</v>
      </c>
      <c r="F22" s="168">
        <f>'Sch DR TSM'!V22+'Sch DM TSM'!V22+'Sch DS TSM'!V22+'Sch DT TSM'!V22+'Sch DT-RV TSM'!V22+'Sch DR-TOU TSM'!V22+'Sch TOU-DR TSM'!V22+'Sch DR-SES TSM'!V22+'Sch EV-TOU  TSM'!V22+'Sch EV-TOU -2 TSM'!V22</f>
        <v>0</v>
      </c>
      <c r="G22" s="36">
        <f>'Sch DR TSM'!W22+'Sch DM TSM'!W22+'Sch DS TSM'!W22+'Sch DT TSM'!W22+'Sch DT-RV TSM'!W22+'Sch DR-TOU TSM'!W22+'Sch TOU-DR TSM'!W22+'Sch DR-SES TSM'!W22+'Sch EV-TOU  TSM'!W22+'Sch EV-TOU -2 TSM'!W22</f>
        <v>4455.92</v>
      </c>
      <c r="H22" s="36">
        <f>'Sch DR TSM'!X22+'Sch DM TSM'!X22+'Sch DS TSM'!X22+'Sch DT TSM'!X22+'Sch DT-RV TSM'!X22+'Sch DR-TOU TSM'!X22+'Sch TOU-DR TSM'!X22+'Sch DR-SES TSM'!X22+'Sch EV-TOU  TSM'!X22+'Sch EV-TOU -2 TSM'!X22</f>
        <v>2026.08</v>
      </c>
      <c r="I22" s="50">
        <f>IF(SUM(F22:H22)=0,0,SUM(F22:H22)/'Resid Cust Fcst '!BY23)</f>
        <v>3241</v>
      </c>
      <c r="J22" s="168">
        <f t="shared" si="0"/>
        <v>0</v>
      </c>
      <c r="K22" s="36">
        <f t="shared" si="1"/>
        <v>15927.199999999993</v>
      </c>
      <c r="L22" s="36">
        <f t="shared" si="2"/>
        <v>3518.8</v>
      </c>
      <c r="M22" s="50">
        <f>IF(SUM(J22:L22)=0,0,SUM(J22:L22)/'Resid Cust Fcst '!BZ23)</f>
        <v>3240.9999999999986</v>
      </c>
    </row>
    <row r="23" spans="1:13">
      <c r="A23" s="21" t="s">
        <v>15</v>
      </c>
      <c r="B23" s="168">
        <f>'Sch DR TSM'!R23+'Sch DM TSM'!R23+'Sch DS TSM'!R23+'Sch DT TSM'!R23+'Sch DT-RV TSM'!R23+'Sch DR-TOU TSM'!R23+'Sch TOU-DR TSM'!R23+'Sch DR-SES TSM'!R23+'Sch EV-TOU  TSM'!R23+'Sch EV-TOU -2 TSM'!R23</f>
        <v>0</v>
      </c>
      <c r="C23" s="36">
        <f>'Sch DR TSM'!S23+'Sch DM TSM'!S23+'Sch DS TSM'!S23+'Sch DT TSM'!S23+'Sch DT-RV TSM'!S23+'Sch DR-TOU TSM'!S23+'Sch TOU-DR TSM'!S23+'Sch DR-SES TSM'!S23+'Sch EV-TOU  TSM'!S23+'Sch EV-TOU -2 TSM'!S23</f>
        <v>2867.8199999999979</v>
      </c>
      <c r="D23" s="36">
        <f>'Sch DR TSM'!T23+'Sch DM TSM'!T23+'Sch DS TSM'!T23+'Sch DT TSM'!T23+'Sch DT-RV TSM'!T23+'Sch DR-TOU TSM'!T23+'Sch TOU-DR TSM'!T23+'Sch DR-SES TSM'!T23+'Sch EV-TOU  TSM'!T23+'Sch EV-TOU -2 TSM'!T23</f>
        <v>373.18</v>
      </c>
      <c r="E23" s="50">
        <f>IF(SUM(B23:D23)=0,0,SUM(B23:D23)/'Resid Cust Fcst '!BX24)</f>
        <v>3240.9999999999977</v>
      </c>
      <c r="F23" s="168">
        <f>'Sch DR TSM'!V23+'Sch DM TSM'!V23+'Sch DS TSM'!V23+'Sch DT TSM'!V23+'Sch DT-RV TSM'!V23+'Sch DR-TOU TSM'!V23+'Sch TOU-DR TSM'!V23+'Sch DR-SES TSM'!V23+'Sch EV-TOU  TSM'!V23+'Sch EV-TOU -2 TSM'!V23</f>
        <v>0</v>
      </c>
      <c r="G23" s="36">
        <f>'Sch DR TSM'!W23+'Sch DM TSM'!W23+'Sch DS TSM'!W23+'Sch DT TSM'!W23+'Sch DT-RV TSM'!W23+'Sch DR-TOU TSM'!W23+'Sch TOU-DR TSM'!W23+'Sch DR-SES TSM'!W23+'Sch EV-TOU  TSM'!W23+'Sch EV-TOU -2 TSM'!W23</f>
        <v>4455.92</v>
      </c>
      <c r="H23" s="36">
        <f>'Sch DR TSM'!X23+'Sch DM TSM'!X23+'Sch DS TSM'!X23+'Sch DT TSM'!X23+'Sch DT-RV TSM'!X23+'Sch DR-TOU TSM'!X23+'Sch TOU-DR TSM'!X23+'Sch DR-SES TSM'!X23+'Sch EV-TOU  TSM'!X23+'Sch EV-TOU -2 TSM'!X23</f>
        <v>2026.08</v>
      </c>
      <c r="I23" s="50">
        <f>IF(SUM(F23:H23)=0,0,SUM(F23:H23)/'Resid Cust Fcst '!BY24)</f>
        <v>3241</v>
      </c>
      <c r="J23" s="168">
        <f t="shared" si="0"/>
        <v>0</v>
      </c>
      <c r="K23" s="36">
        <f t="shared" si="1"/>
        <v>7323.739999999998</v>
      </c>
      <c r="L23" s="36">
        <f t="shared" si="2"/>
        <v>2399.2599999999998</v>
      </c>
      <c r="M23" s="50">
        <f>IF(SUM(J23:L23)=0,0,SUM(J23:L23)/'Resid Cust Fcst '!BZ24)</f>
        <v>3240.9999999999995</v>
      </c>
    </row>
    <row r="24" spans="1:13">
      <c r="A24" s="21" t="s">
        <v>16</v>
      </c>
      <c r="B24" s="168">
        <f>'Sch DR TSM'!R24+'Sch DM TSM'!R24+'Sch DS TSM'!R24+'Sch DT TSM'!R24+'Sch DT-RV TSM'!R24+'Sch DR-TOU TSM'!R24+'Sch TOU-DR TSM'!R24+'Sch DR-SES TSM'!R24+'Sch EV-TOU  TSM'!R24+'Sch EV-TOU -2 TSM'!R24</f>
        <v>0</v>
      </c>
      <c r="C24" s="36">
        <f>'Sch DR TSM'!S24+'Sch DM TSM'!S24+'Sch DS TSM'!S24+'Sch DT TSM'!S24+'Sch DT-RV TSM'!S24+'Sch DR-TOU TSM'!S24+'Sch TOU-DR TSM'!S24+'Sch DR-SES TSM'!S24+'Sch EV-TOU  TSM'!S24+'Sch EV-TOU -2 TSM'!S24</f>
        <v>0</v>
      </c>
      <c r="D24" s="36">
        <f>'Sch DR TSM'!T24+'Sch DM TSM'!T24+'Sch DS TSM'!T24+'Sch DT TSM'!T24+'Sch DT-RV TSM'!T24+'Sch DR-TOU TSM'!T24+'Sch TOU-DR TSM'!T24+'Sch DR-SES TSM'!T24+'Sch EV-TOU  TSM'!T24+'Sch EV-TOU -2 TSM'!T24</f>
        <v>0</v>
      </c>
      <c r="E24" s="50">
        <f>IF(SUM(B24:D24)=0,0,SUM(B24:D24)/'Resid Cust Fcst '!BX25)</f>
        <v>0</v>
      </c>
      <c r="F24" s="168">
        <f>'Sch DR TSM'!V24+'Sch DM TSM'!V24+'Sch DS TSM'!V24+'Sch DT TSM'!V24+'Sch DT-RV TSM'!V24+'Sch DR-TOU TSM'!V24+'Sch TOU-DR TSM'!V24+'Sch DR-SES TSM'!V24+'Sch EV-TOU  TSM'!V24+'Sch EV-TOU -2 TSM'!V24</f>
        <v>0</v>
      </c>
      <c r="G24" s="36">
        <f>'Sch DR TSM'!W24+'Sch DM TSM'!W24+'Sch DS TSM'!W24+'Sch DT TSM'!W24+'Sch DT-RV TSM'!W24+'Sch DR-TOU TSM'!W24+'Sch TOU-DR TSM'!W24+'Sch DR-SES TSM'!W24+'Sch EV-TOU  TSM'!W24+'Sch EV-TOU -2 TSM'!W24</f>
        <v>2227.96</v>
      </c>
      <c r="H24" s="36">
        <f>'Sch DR TSM'!X24+'Sch DM TSM'!X24+'Sch DS TSM'!X24+'Sch DT TSM'!X24+'Sch DT-RV TSM'!X24+'Sch DR-TOU TSM'!X24+'Sch TOU-DR TSM'!X24+'Sch DR-SES TSM'!X24+'Sch EV-TOU  TSM'!X24+'Sch EV-TOU -2 TSM'!X24</f>
        <v>1013.04</v>
      </c>
      <c r="I24" s="50">
        <f>IF(SUM(F24:H24)=0,0,SUM(F24:H24)/'Resid Cust Fcst '!BY25)</f>
        <v>3241</v>
      </c>
      <c r="J24" s="168">
        <f t="shared" si="0"/>
        <v>0</v>
      </c>
      <c r="K24" s="36">
        <f t="shared" si="1"/>
        <v>2227.96</v>
      </c>
      <c r="L24" s="36">
        <f t="shared" si="2"/>
        <v>1013.04</v>
      </c>
      <c r="M24" s="50">
        <f>IF(SUM(J24:L24)=0,0,SUM(J24:L24)/'Resid Cust Fcst '!BZ25)</f>
        <v>3241</v>
      </c>
    </row>
    <row r="25" spans="1:13">
      <c r="A25" s="21" t="s">
        <v>17</v>
      </c>
      <c r="B25" s="168">
        <f>'Sch DR TSM'!R25+'Sch DM TSM'!R25+'Sch DS TSM'!R25+'Sch DT TSM'!R25+'Sch DT-RV TSM'!R25+'Sch DR-TOU TSM'!R25+'Sch TOU-DR TSM'!R25+'Sch DR-SES TSM'!R25+'Sch EV-TOU  TSM'!R25+'Sch EV-TOU -2 TSM'!R25</f>
        <v>0</v>
      </c>
      <c r="C25" s="36">
        <f>'Sch DR TSM'!S25+'Sch DM TSM'!S25+'Sch DS TSM'!S25+'Sch DT TSM'!S25+'Sch DT-RV TSM'!S25+'Sch DR-TOU TSM'!S25+'Sch TOU-DR TSM'!S25+'Sch DR-SES TSM'!S25+'Sch EV-TOU  TSM'!S25+'Sch EV-TOU -2 TSM'!S25</f>
        <v>2867.820000000007</v>
      </c>
      <c r="D25" s="36">
        <f>'Sch DR TSM'!T25+'Sch DM TSM'!T25+'Sch DS TSM'!T25+'Sch DT TSM'!T25+'Sch DT-RV TSM'!T25+'Sch DR-TOU TSM'!T25+'Sch TOU-DR TSM'!T25+'Sch DR-SES TSM'!T25+'Sch EV-TOU  TSM'!T25+'Sch EV-TOU -2 TSM'!T25</f>
        <v>373.18</v>
      </c>
      <c r="E25" s="50">
        <f>IF(SUM(B25:D25)=0,0,SUM(B25:D25)/'Resid Cust Fcst '!BX26)</f>
        <v>3241.0000000000068</v>
      </c>
      <c r="F25" s="168">
        <f>'Sch DR TSM'!V25+'Sch DM TSM'!V25+'Sch DS TSM'!V25+'Sch DT TSM'!V25+'Sch DT-RV TSM'!V25+'Sch DR-TOU TSM'!V25+'Sch TOU-DR TSM'!V25+'Sch DR-SES TSM'!V25+'Sch EV-TOU  TSM'!V25+'Sch EV-TOU -2 TSM'!V25</f>
        <v>0</v>
      </c>
      <c r="G25" s="36">
        <f>'Sch DR TSM'!W25+'Sch DM TSM'!W25+'Sch DS TSM'!W25+'Sch DT TSM'!W25+'Sch DT-RV TSM'!W25+'Sch DR-TOU TSM'!W25+'Sch TOU-DR TSM'!W25+'Sch DR-SES TSM'!W25+'Sch EV-TOU  TSM'!W25+'Sch EV-TOU -2 TSM'!W25</f>
        <v>8911.84</v>
      </c>
      <c r="H25" s="36">
        <f>'Sch DR TSM'!X25+'Sch DM TSM'!X25+'Sch DS TSM'!X25+'Sch DT TSM'!X25+'Sch DT-RV TSM'!X25+'Sch DR-TOU TSM'!X25+'Sch TOU-DR TSM'!X25+'Sch DR-SES TSM'!X25+'Sch EV-TOU  TSM'!X25+'Sch EV-TOU -2 TSM'!X25</f>
        <v>4052.16</v>
      </c>
      <c r="I25" s="50">
        <f>IF(SUM(F25:H25)=0,0,SUM(F25:H25)/'Resid Cust Fcst '!BY26)</f>
        <v>3241</v>
      </c>
      <c r="J25" s="168">
        <f t="shared" si="0"/>
        <v>0</v>
      </c>
      <c r="K25" s="36">
        <f t="shared" si="1"/>
        <v>11779.660000000007</v>
      </c>
      <c r="L25" s="36">
        <f t="shared" si="2"/>
        <v>4425.34</v>
      </c>
      <c r="M25" s="50">
        <f>IF(SUM(J25:L25)=0,0,SUM(J25:L25)/'Resid Cust Fcst '!BZ26)</f>
        <v>3241.0000000000014</v>
      </c>
    </row>
    <row r="26" spans="1:13">
      <c r="A26" s="21" t="s">
        <v>18</v>
      </c>
      <c r="B26" s="168">
        <f>'Sch DR TSM'!R26+'Sch DM TSM'!R26+'Sch DS TSM'!R26+'Sch DT TSM'!R26+'Sch DT-RV TSM'!R26+'Sch DR-TOU TSM'!R26+'Sch TOU-DR TSM'!R26+'Sch DR-SES TSM'!R26+'Sch EV-TOU  TSM'!R26+'Sch EV-TOU -2 TSM'!R26</f>
        <v>0</v>
      </c>
      <c r="C26" s="36">
        <f>'Sch DR TSM'!S26+'Sch DM TSM'!S26+'Sch DS TSM'!S26+'Sch DT TSM'!S26+'Sch DT-RV TSM'!S26+'Sch DR-TOU TSM'!S26+'Sch TOU-DR TSM'!S26+'Sch DR-SES TSM'!S26+'Sch EV-TOU  TSM'!S26+'Sch EV-TOU -2 TSM'!S26</f>
        <v>0</v>
      </c>
      <c r="D26" s="36">
        <f>'Sch DR TSM'!T26+'Sch DM TSM'!T26+'Sch DS TSM'!T26+'Sch DT TSM'!T26+'Sch DT-RV TSM'!T26+'Sch DR-TOU TSM'!T26+'Sch TOU-DR TSM'!T26+'Sch DR-SES TSM'!T26+'Sch EV-TOU  TSM'!T26+'Sch EV-TOU -2 TSM'!T26</f>
        <v>0</v>
      </c>
      <c r="E26" s="50">
        <f>IF(SUM(B26:D26)=0,0,SUM(B26:D26)/'Resid Cust Fcst '!BX27)</f>
        <v>0</v>
      </c>
      <c r="F26" s="168">
        <f>'Sch DR TSM'!V26+'Sch DM TSM'!V26+'Sch DS TSM'!V26+'Sch DT TSM'!V26+'Sch DT-RV TSM'!V26+'Sch DR-TOU TSM'!V26+'Sch TOU-DR TSM'!V26+'Sch DR-SES TSM'!V26+'Sch EV-TOU  TSM'!V26+'Sch EV-TOU -2 TSM'!V26</f>
        <v>0</v>
      </c>
      <c r="G26" s="36">
        <f>'Sch DR TSM'!W26+'Sch DM TSM'!W26+'Sch DS TSM'!W26+'Sch DT TSM'!W26+'Sch DT-RV TSM'!W26+'Sch DR-TOU TSM'!W26+'Sch TOU-DR TSM'!W26+'Sch DR-SES TSM'!W26+'Sch EV-TOU  TSM'!W26+'Sch EV-TOU -2 TSM'!W26</f>
        <v>2227.96</v>
      </c>
      <c r="H26" s="36">
        <f>'Sch DR TSM'!X26+'Sch DM TSM'!X26+'Sch DS TSM'!X26+'Sch DT TSM'!X26+'Sch DT-RV TSM'!X26+'Sch DR-TOU TSM'!X26+'Sch TOU-DR TSM'!X26+'Sch DR-SES TSM'!X26+'Sch EV-TOU  TSM'!X26+'Sch EV-TOU -2 TSM'!X26</f>
        <v>1013.04</v>
      </c>
      <c r="I26" s="50">
        <f>IF(SUM(F26:H26)=0,0,SUM(F26:H26)/'Resid Cust Fcst '!BY27)</f>
        <v>3241</v>
      </c>
      <c r="J26" s="168">
        <f t="shared" si="0"/>
        <v>0</v>
      </c>
      <c r="K26" s="36">
        <f t="shared" si="1"/>
        <v>2227.96</v>
      </c>
      <c r="L26" s="36">
        <f t="shared" si="2"/>
        <v>1013.04</v>
      </c>
      <c r="M26" s="50">
        <f>IF(SUM(J26:L26)=0,0,SUM(J26:L26)/'Resid Cust Fcst '!BZ27)</f>
        <v>3241</v>
      </c>
    </row>
    <row r="27" spans="1:13">
      <c r="A27" s="21" t="s">
        <v>19</v>
      </c>
      <c r="B27" s="168">
        <f>'Sch DR TSM'!R27+'Sch DM TSM'!R27+'Sch DS TSM'!R27+'Sch DT TSM'!R27+'Sch DT-RV TSM'!R27+'Sch DR-TOU TSM'!R27+'Sch TOU-DR TSM'!R27+'Sch DR-SES TSM'!R27+'Sch EV-TOU  TSM'!R27+'Sch EV-TOU -2 TSM'!R27</f>
        <v>0</v>
      </c>
      <c r="C27" s="36">
        <f>'Sch DR TSM'!S27+'Sch DM TSM'!S27+'Sch DS TSM'!S27+'Sch DT TSM'!S27+'Sch DT-RV TSM'!S27+'Sch DR-TOU TSM'!S27+'Sch TOU-DR TSM'!S27+'Sch DR-SES TSM'!S27+'Sch EV-TOU  TSM'!S27+'Sch EV-TOU -2 TSM'!S27</f>
        <v>0</v>
      </c>
      <c r="D27" s="36">
        <f>'Sch DR TSM'!T27+'Sch DM TSM'!T27+'Sch DS TSM'!T27+'Sch DT TSM'!T27+'Sch DT-RV TSM'!T27+'Sch DR-TOU TSM'!T27+'Sch TOU-DR TSM'!T27+'Sch DR-SES TSM'!T27+'Sch EV-TOU  TSM'!T27+'Sch EV-TOU -2 TSM'!T27</f>
        <v>0</v>
      </c>
      <c r="E27" s="50">
        <f>IF(SUM(B27:D27)=0,0,SUM(B27:D27)/'Resid Cust Fcst '!BX28)</f>
        <v>0</v>
      </c>
      <c r="F27" s="168">
        <f>'Sch DR TSM'!V27+'Sch DM TSM'!V27+'Sch DS TSM'!V27+'Sch DT TSM'!V27+'Sch DT-RV TSM'!V27+'Sch DR-TOU TSM'!V27+'Sch TOU-DR TSM'!V27+'Sch DR-SES TSM'!V27+'Sch EV-TOU  TSM'!V27+'Sch EV-TOU -2 TSM'!V27</f>
        <v>0</v>
      </c>
      <c r="G27" s="36">
        <f>'Sch DR TSM'!W27+'Sch DM TSM'!W27+'Sch DS TSM'!W27+'Sch DT TSM'!W27+'Sch DT-RV TSM'!W27+'Sch DR-TOU TSM'!W27+'Sch TOU-DR TSM'!W27+'Sch DR-SES TSM'!W27+'Sch EV-TOU  TSM'!W27+'Sch EV-TOU -2 TSM'!W27</f>
        <v>0</v>
      </c>
      <c r="H27" s="36">
        <f>'Sch DR TSM'!X27+'Sch DM TSM'!X27+'Sch DS TSM'!X27+'Sch DT TSM'!X27+'Sch DT-RV TSM'!X27+'Sch DR-TOU TSM'!X27+'Sch TOU-DR TSM'!X27+'Sch DR-SES TSM'!X27+'Sch EV-TOU  TSM'!X27+'Sch EV-TOU -2 TSM'!X27</f>
        <v>0</v>
      </c>
      <c r="I27" s="50">
        <f>IF(SUM(F27:H27)=0,0,SUM(F27:H27)/'Resid Cust Fcst '!BY28)</f>
        <v>0</v>
      </c>
      <c r="J27" s="168">
        <f t="shared" si="0"/>
        <v>0</v>
      </c>
      <c r="K27" s="36">
        <f t="shared" si="1"/>
        <v>0</v>
      </c>
      <c r="L27" s="36">
        <f t="shared" si="2"/>
        <v>0</v>
      </c>
      <c r="M27" s="50">
        <f>IF(SUM(J27:L27)=0,0,SUM(J27:L27)/'Resid Cust Fcst '!BZ28)</f>
        <v>0</v>
      </c>
    </row>
    <row r="28" spans="1:13">
      <c r="A28" s="21" t="s">
        <v>20</v>
      </c>
      <c r="B28" s="168">
        <f>'Sch DR TSM'!R28+'Sch DM TSM'!R28+'Sch DS TSM'!R28+'Sch DT TSM'!R28+'Sch DT-RV TSM'!R28+'Sch DR-TOU TSM'!R28+'Sch TOU-DR TSM'!R28+'Sch DR-SES TSM'!R28+'Sch EV-TOU  TSM'!R28+'Sch EV-TOU -2 TSM'!R28</f>
        <v>0</v>
      </c>
      <c r="C28" s="36">
        <f>'Sch DR TSM'!S28+'Sch DM TSM'!S28+'Sch DS TSM'!S28+'Sch DT TSM'!S28+'Sch DT-RV TSM'!S28+'Sch DR-TOU TSM'!S28+'Sch TOU-DR TSM'!S28+'Sch DR-SES TSM'!S28+'Sch EV-TOU  TSM'!S28+'Sch EV-TOU -2 TSM'!S28</f>
        <v>0</v>
      </c>
      <c r="D28" s="36">
        <f>'Sch DR TSM'!T28+'Sch DM TSM'!T28+'Sch DS TSM'!T28+'Sch DT TSM'!T28+'Sch DT-RV TSM'!T28+'Sch DR-TOU TSM'!T28+'Sch TOU-DR TSM'!T28+'Sch DR-SES TSM'!T28+'Sch EV-TOU  TSM'!T28+'Sch EV-TOU -2 TSM'!T28</f>
        <v>0</v>
      </c>
      <c r="E28" s="50">
        <f>IF(SUM(B28:D28)=0,0,SUM(B28:D28)/'Resid Cust Fcst '!BX29)</f>
        <v>0</v>
      </c>
      <c r="F28" s="168">
        <f>'Sch DR TSM'!V28+'Sch DM TSM'!V28+'Sch DS TSM'!V28+'Sch DT TSM'!V28+'Sch DT-RV TSM'!V28+'Sch DR-TOU TSM'!V28+'Sch TOU-DR TSM'!V28+'Sch DR-SES TSM'!V28+'Sch EV-TOU  TSM'!V28+'Sch EV-TOU -2 TSM'!V28</f>
        <v>0</v>
      </c>
      <c r="G28" s="36">
        <f>'Sch DR TSM'!W28+'Sch DM TSM'!W28+'Sch DS TSM'!W28+'Sch DT TSM'!W28+'Sch DT-RV TSM'!W28+'Sch DR-TOU TSM'!W28+'Sch TOU-DR TSM'!W28+'Sch DR-SES TSM'!W28+'Sch EV-TOU  TSM'!W28+'Sch EV-TOU -2 TSM'!W28</f>
        <v>0</v>
      </c>
      <c r="H28" s="36">
        <f>'Sch DR TSM'!X28+'Sch DM TSM'!X28+'Sch DS TSM'!X28+'Sch DT TSM'!X28+'Sch DT-RV TSM'!X28+'Sch DR-TOU TSM'!X28+'Sch TOU-DR TSM'!X28+'Sch DR-SES TSM'!X28+'Sch EV-TOU  TSM'!X28+'Sch EV-TOU -2 TSM'!X28</f>
        <v>0</v>
      </c>
      <c r="I28" s="50">
        <f>IF(SUM(F28:H28)=0,0,SUM(F28:H28)/'Resid Cust Fcst '!BY29)</f>
        <v>0</v>
      </c>
      <c r="J28" s="168">
        <f t="shared" si="0"/>
        <v>0</v>
      </c>
      <c r="K28" s="36">
        <f t="shared" si="1"/>
        <v>0</v>
      </c>
      <c r="L28" s="36">
        <f t="shared" si="2"/>
        <v>0</v>
      </c>
      <c r="M28" s="50">
        <f>IF(SUM(J28:L28)=0,0,SUM(J28:L28)/'Resid Cust Fcst '!BZ29)</f>
        <v>0</v>
      </c>
    </row>
    <row r="29" spans="1:13">
      <c r="A29" s="21" t="s">
        <v>21</v>
      </c>
      <c r="B29" s="168">
        <f>'Sch DR TSM'!R29+'Sch DM TSM'!R29+'Sch DS TSM'!R29+'Sch DT TSM'!R29+'Sch DT-RV TSM'!R29+'Sch DR-TOU TSM'!R29+'Sch TOU-DR TSM'!R29+'Sch DR-SES TSM'!R29+'Sch EV-TOU  TSM'!R29+'Sch EV-TOU -2 TSM'!R29</f>
        <v>0</v>
      </c>
      <c r="C29" s="36">
        <f>'Sch DR TSM'!S29+'Sch DM TSM'!S29+'Sch DS TSM'!S29+'Sch DT TSM'!S29+'Sch DT-RV TSM'!S29+'Sch DR-TOU TSM'!S29+'Sch TOU-DR TSM'!S29+'Sch DR-SES TSM'!S29+'Sch EV-TOU  TSM'!S29+'Sch EV-TOU -2 TSM'!S29</f>
        <v>0</v>
      </c>
      <c r="D29" s="36">
        <f>'Sch DR TSM'!T29+'Sch DM TSM'!T29+'Sch DS TSM'!T29+'Sch DT TSM'!T29+'Sch DT-RV TSM'!T29+'Sch DR-TOU TSM'!T29+'Sch TOU-DR TSM'!T29+'Sch DR-SES TSM'!T29+'Sch EV-TOU  TSM'!T29+'Sch EV-TOU -2 TSM'!T29</f>
        <v>0</v>
      </c>
      <c r="E29" s="50">
        <f>IF(SUM(B29:D29)=0,0,SUM(B29:D29)/'Resid Cust Fcst '!BX30)</f>
        <v>0</v>
      </c>
      <c r="F29" s="168">
        <f>'Sch DR TSM'!V29+'Sch DM TSM'!V29+'Sch DS TSM'!V29+'Sch DT TSM'!V29+'Sch DT-RV TSM'!V29+'Sch DR-TOU TSM'!V29+'Sch TOU-DR TSM'!V29+'Sch DR-SES TSM'!V29+'Sch EV-TOU  TSM'!V29+'Sch EV-TOU -2 TSM'!V29</f>
        <v>0</v>
      </c>
      <c r="G29" s="36">
        <f>'Sch DR TSM'!W29+'Sch DM TSM'!W29+'Sch DS TSM'!W29+'Sch DT TSM'!W29+'Sch DT-RV TSM'!W29+'Sch DR-TOU TSM'!W29+'Sch TOU-DR TSM'!W29+'Sch DR-SES TSM'!W29+'Sch EV-TOU  TSM'!W29+'Sch EV-TOU -2 TSM'!W29</f>
        <v>0</v>
      </c>
      <c r="H29" s="36">
        <f>'Sch DR TSM'!X29+'Sch DM TSM'!X29+'Sch DS TSM'!X29+'Sch DT TSM'!X29+'Sch DT-RV TSM'!X29+'Sch DR-TOU TSM'!X29+'Sch TOU-DR TSM'!X29+'Sch DR-SES TSM'!X29+'Sch EV-TOU  TSM'!X29+'Sch EV-TOU -2 TSM'!X29</f>
        <v>0</v>
      </c>
      <c r="I29" s="50">
        <f>IF(SUM(F29:H29)=0,0,SUM(F29:H29)/'Resid Cust Fcst '!BY30)</f>
        <v>0</v>
      </c>
      <c r="J29" s="168">
        <f t="shared" si="0"/>
        <v>0</v>
      </c>
      <c r="K29" s="36">
        <f t="shared" si="1"/>
        <v>0</v>
      </c>
      <c r="L29" s="36">
        <f t="shared" si="2"/>
        <v>0</v>
      </c>
      <c r="M29" s="50">
        <f>IF(SUM(J29:L29)=0,0,SUM(J29:L29)/'Resid Cust Fcst '!BZ30)</f>
        <v>0</v>
      </c>
    </row>
    <row r="30" spans="1:13">
      <c r="A30" s="21" t="s">
        <v>22</v>
      </c>
      <c r="B30" s="168">
        <f>'Sch DR TSM'!R30+'Sch DM TSM'!R30+'Sch DS TSM'!R30+'Sch DT TSM'!R30+'Sch DT-RV TSM'!R30+'Sch DR-TOU TSM'!R30+'Sch TOU-DR TSM'!R30+'Sch DR-SES TSM'!R30+'Sch EV-TOU  TSM'!R30+'Sch EV-TOU -2 TSM'!R30</f>
        <v>0</v>
      </c>
      <c r="C30" s="36">
        <f>'Sch DR TSM'!S30+'Sch DM TSM'!S30+'Sch DS TSM'!S30+'Sch DT TSM'!S30+'Sch DT-RV TSM'!S30+'Sch DR-TOU TSM'!S30+'Sch TOU-DR TSM'!S30+'Sch DR-SES TSM'!S30+'Sch EV-TOU  TSM'!S30+'Sch EV-TOU -2 TSM'!S30</f>
        <v>0</v>
      </c>
      <c r="D30" s="36">
        <f>'Sch DR TSM'!T30+'Sch DM TSM'!T30+'Sch DS TSM'!T30+'Sch DT TSM'!T30+'Sch DT-RV TSM'!T30+'Sch DR-TOU TSM'!T30+'Sch TOU-DR TSM'!T30+'Sch DR-SES TSM'!T30+'Sch EV-TOU  TSM'!T30+'Sch EV-TOU -2 TSM'!T30</f>
        <v>0</v>
      </c>
      <c r="E30" s="50">
        <f>IF(SUM(B30:D30)=0,0,SUM(B30:D30)/'Resid Cust Fcst '!BX31)</f>
        <v>0</v>
      </c>
      <c r="F30" s="168">
        <f>'Sch DR TSM'!V30+'Sch DM TSM'!V30+'Sch DS TSM'!V30+'Sch DT TSM'!V30+'Sch DT-RV TSM'!V30+'Sch DR-TOU TSM'!V30+'Sch TOU-DR TSM'!V30+'Sch DR-SES TSM'!V30+'Sch EV-TOU  TSM'!V30+'Sch EV-TOU -2 TSM'!V30</f>
        <v>0</v>
      </c>
      <c r="G30" s="36">
        <f>'Sch DR TSM'!W30+'Sch DM TSM'!W30+'Sch DS TSM'!W30+'Sch DT TSM'!W30+'Sch DT-RV TSM'!W30+'Sch DR-TOU TSM'!W30+'Sch TOU-DR TSM'!W30+'Sch DR-SES TSM'!W30+'Sch EV-TOU  TSM'!W30+'Sch EV-TOU -2 TSM'!W30</f>
        <v>0</v>
      </c>
      <c r="H30" s="36">
        <f>'Sch DR TSM'!X30+'Sch DM TSM'!X30+'Sch DS TSM'!X30+'Sch DT TSM'!X30+'Sch DT-RV TSM'!X30+'Sch DR-TOU TSM'!X30+'Sch TOU-DR TSM'!X30+'Sch DR-SES TSM'!X30+'Sch EV-TOU  TSM'!X30+'Sch EV-TOU -2 TSM'!X30</f>
        <v>0</v>
      </c>
      <c r="I30" s="50">
        <f>IF(SUM(F30:H30)=0,0,SUM(F30:H30)/'Resid Cust Fcst '!BY31)</f>
        <v>0</v>
      </c>
      <c r="J30" s="168">
        <f t="shared" si="0"/>
        <v>0</v>
      </c>
      <c r="K30" s="36">
        <f t="shared" si="1"/>
        <v>0</v>
      </c>
      <c r="L30" s="36">
        <f t="shared" si="2"/>
        <v>0</v>
      </c>
      <c r="M30" s="50">
        <f>IF(SUM(J30:L30)=0,0,SUM(J30:L30)/'Resid Cust Fcst '!BZ31)</f>
        <v>0</v>
      </c>
    </row>
    <row r="31" spans="1:13">
      <c r="A31" s="21" t="s">
        <v>23</v>
      </c>
      <c r="B31" s="168">
        <f>'Sch DR TSM'!R31+'Sch DM TSM'!R31+'Sch DS TSM'!R31+'Sch DT TSM'!R31+'Sch DT-RV TSM'!R31+'Sch DR-TOU TSM'!R31+'Sch TOU-DR TSM'!R31+'Sch DR-SES TSM'!R31+'Sch EV-TOU  TSM'!R31+'Sch EV-TOU -2 TSM'!R31</f>
        <v>0</v>
      </c>
      <c r="C31" s="36">
        <f>'Sch DR TSM'!S31+'Sch DM TSM'!S31+'Sch DS TSM'!S31+'Sch DT TSM'!S31+'Sch DT-RV TSM'!S31+'Sch DR-TOU TSM'!S31+'Sch TOU-DR TSM'!S31+'Sch DR-SES TSM'!S31+'Sch EV-TOU  TSM'!S31+'Sch EV-TOU -2 TSM'!S31</f>
        <v>0</v>
      </c>
      <c r="D31" s="36">
        <f>'Sch DR TSM'!T31+'Sch DM TSM'!T31+'Sch DS TSM'!T31+'Sch DT TSM'!T31+'Sch DT-RV TSM'!T31+'Sch DR-TOU TSM'!T31+'Sch TOU-DR TSM'!T31+'Sch DR-SES TSM'!T31+'Sch EV-TOU  TSM'!T31+'Sch EV-TOU -2 TSM'!T31</f>
        <v>0</v>
      </c>
      <c r="E31" s="50">
        <f>IF(SUM(B31:D31)=0,0,SUM(B31:D31)/'Resid Cust Fcst '!BX32)</f>
        <v>0</v>
      </c>
      <c r="F31" s="168">
        <f>'Sch DR TSM'!V31+'Sch DM TSM'!V31+'Sch DS TSM'!V31+'Sch DT TSM'!V31+'Sch DT-RV TSM'!V31+'Sch DR-TOU TSM'!V31+'Sch TOU-DR TSM'!V31+'Sch DR-SES TSM'!V31+'Sch EV-TOU  TSM'!V31+'Sch EV-TOU -2 TSM'!V31</f>
        <v>0</v>
      </c>
      <c r="G31" s="36">
        <f>'Sch DR TSM'!W31+'Sch DM TSM'!W31+'Sch DS TSM'!W31+'Sch DT TSM'!W31+'Sch DT-RV TSM'!W31+'Sch DR-TOU TSM'!W31+'Sch TOU-DR TSM'!W31+'Sch DR-SES TSM'!W31+'Sch EV-TOU  TSM'!W31+'Sch EV-TOU -2 TSM'!W31</f>
        <v>0</v>
      </c>
      <c r="H31" s="36">
        <f>'Sch DR TSM'!X31+'Sch DM TSM'!X31+'Sch DS TSM'!X31+'Sch DT TSM'!X31+'Sch DT-RV TSM'!X31+'Sch DR-TOU TSM'!X31+'Sch TOU-DR TSM'!X31+'Sch DR-SES TSM'!X31+'Sch EV-TOU  TSM'!X31+'Sch EV-TOU -2 TSM'!X31</f>
        <v>0</v>
      </c>
      <c r="I31" s="50">
        <f>IF(SUM(F31:H31)=0,0,SUM(F31:H31)/'Resid Cust Fcst '!BY32)</f>
        <v>0</v>
      </c>
      <c r="J31" s="168">
        <f t="shared" si="0"/>
        <v>0</v>
      </c>
      <c r="K31" s="36">
        <f t="shared" si="1"/>
        <v>0</v>
      </c>
      <c r="L31" s="36">
        <f t="shared" si="2"/>
        <v>0</v>
      </c>
      <c r="M31" s="50">
        <f>IF(SUM(J31:L31)=0,0,SUM(J31:L31)/'Resid Cust Fcst '!BZ32)</f>
        <v>0</v>
      </c>
    </row>
    <row r="32" spans="1:13">
      <c r="A32" s="21" t="s">
        <v>24</v>
      </c>
      <c r="B32" s="168">
        <f>'Sch DR TSM'!R32+'Sch DM TSM'!R32+'Sch DS TSM'!R32+'Sch DT TSM'!R32+'Sch DT-RV TSM'!R32+'Sch DR-TOU TSM'!R32+'Sch TOU-DR TSM'!R32+'Sch DR-SES TSM'!R32+'Sch EV-TOU  TSM'!R32+'Sch EV-TOU -2 TSM'!R32</f>
        <v>0</v>
      </c>
      <c r="C32" s="36">
        <f>'Sch DR TSM'!S32+'Sch DM TSM'!S32+'Sch DS TSM'!S32+'Sch DT TSM'!S32+'Sch DT-RV TSM'!S32+'Sch DR-TOU TSM'!S32+'Sch TOU-DR TSM'!S32+'Sch DR-SES TSM'!S32+'Sch EV-TOU  TSM'!S32+'Sch EV-TOU -2 TSM'!S32</f>
        <v>0</v>
      </c>
      <c r="D32" s="36">
        <f>'Sch DR TSM'!T32+'Sch DM TSM'!T32+'Sch DS TSM'!T32+'Sch DT TSM'!T32+'Sch DT-RV TSM'!T32+'Sch DR-TOU TSM'!T32+'Sch TOU-DR TSM'!T32+'Sch DR-SES TSM'!T32+'Sch EV-TOU  TSM'!T32+'Sch EV-TOU -2 TSM'!T32</f>
        <v>0</v>
      </c>
      <c r="E32" s="50">
        <f>IF(SUM(B32:D32)=0,0,SUM(B32:D32)/'Resid Cust Fcst '!BX33)</f>
        <v>0</v>
      </c>
      <c r="F32" s="168">
        <f>'Sch DR TSM'!V32+'Sch DM TSM'!V32+'Sch DS TSM'!V32+'Sch DT TSM'!V32+'Sch DT-RV TSM'!V32+'Sch DR-TOU TSM'!V32+'Sch TOU-DR TSM'!V32+'Sch DR-SES TSM'!V32+'Sch EV-TOU  TSM'!V32+'Sch EV-TOU -2 TSM'!V32</f>
        <v>0</v>
      </c>
      <c r="G32" s="36">
        <f>'Sch DR TSM'!W32+'Sch DM TSM'!W32+'Sch DS TSM'!W32+'Sch DT TSM'!W32+'Sch DT-RV TSM'!W32+'Sch DR-TOU TSM'!W32+'Sch TOU-DR TSM'!W32+'Sch DR-SES TSM'!W32+'Sch EV-TOU  TSM'!W32+'Sch EV-TOU -2 TSM'!W32</f>
        <v>0</v>
      </c>
      <c r="H32" s="36">
        <f>'Sch DR TSM'!X32+'Sch DM TSM'!X32+'Sch DS TSM'!X32+'Sch DT TSM'!X32+'Sch DT-RV TSM'!X32+'Sch DR-TOU TSM'!X32+'Sch TOU-DR TSM'!X32+'Sch DR-SES TSM'!X32+'Sch EV-TOU  TSM'!X32+'Sch EV-TOU -2 TSM'!X32</f>
        <v>0</v>
      </c>
      <c r="I32" s="50">
        <f>IF(SUM(F32:H32)=0,0,SUM(F32:H32)/'Resid Cust Fcst '!BY33)</f>
        <v>0</v>
      </c>
      <c r="J32" s="168">
        <f t="shared" si="0"/>
        <v>0</v>
      </c>
      <c r="K32" s="36">
        <f t="shared" si="1"/>
        <v>0</v>
      </c>
      <c r="L32" s="36">
        <f t="shared" si="2"/>
        <v>0</v>
      </c>
      <c r="M32" s="50">
        <f>IF(SUM(J32:L32)=0,0,SUM(J32:L32)/'Resid Cust Fcst '!BZ33)</f>
        <v>0</v>
      </c>
    </row>
    <row r="33" spans="1:13">
      <c r="A33" s="21" t="s">
        <v>25</v>
      </c>
      <c r="B33" s="168">
        <f>'Sch DR TSM'!R33+'Sch DM TSM'!R33+'Sch DS TSM'!R33+'Sch DT TSM'!R33+'Sch DT-RV TSM'!R33+'Sch DR-TOU TSM'!R33+'Sch TOU-DR TSM'!R33+'Sch DR-SES TSM'!R33+'Sch EV-TOU  TSM'!R33+'Sch EV-TOU -2 TSM'!R33</f>
        <v>0</v>
      </c>
      <c r="C33" s="36">
        <f>'Sch DR TSM'!S33+'Sch DM TSM'!S33+'Sch DS TSM'!S33+'Sch DT TSM'!S33+'Sch DT-RV TSM'!S33+'Sch DR-TOU TSM'!S33+'Sch TOU-DR TSM'!S33+'Sch DR-SES TSM'!S33+'Sch EV-TOU  TSM'!S33+'Sch EV-TOU -2 TSM'!S33</f>
        <v>0</v>
      </c>
      <c r="D33" s="36">
        <f>'Sch DR TSM'!T33+'Sch DM TSM'!T33+'Sch DS TSM'!T33+'Sch DT TSM'!T33+'Sch DT-RV TSM'!T33+'Sch DR-TOU TSM'!T33+'Sch TOU-DR TSM'!T33+'Sch DR-SES TSM'!T33+'Sch EV-TOU  TSM'!T33+'Sch EV-TOU -2 TSM'!T33</f>
        <v>0</v>
      </c>
      <c r="E33" s="50">
        <f>IF(SUM(B33:D33)=0,0,SUM(B33:D33)/'Resid Cust Fcst '!BX34)</f>
        <v>0</v>
      </c>
      <c r="F33" s="168">
        <f>'Sch DR TSM'!V33+'Sch DM TSM'!V33+'Sch DS TSM'!V33+'Sch DT TSM'!V33+'Sch DT-RV TSM'!V33+'Sch DR-TOU TSM'!V33+'Sch TOU-DR TSM'!V33+'Sch DR-SES TSM'!V33+'Sch EV-TOU  TSM'!V33+'Sch EV-TOU -2 TSM'!V33</f>
        <v>0</v>
      </c>
      <c r="G33" s="36">
        <f>'Sch DR TSM'!W33+'Sch DM TSM'!W33+'Sch DS TSM'!W33+'Sch DT TSM'!W33+'Sch DT-RV TSM'!W33+'Sch DR-TOU TSM'!W33+'Sch TOU-DR TSM'!W33+'Sch DR-SES TSM'!W33+'Sch EV-TOU  TSM'!W33+'Sch EV-TOU -2 TSM'!W33</f>
        <v>0</v>
      </c>
      <c r="H33" s="36">
        <f>'Sch DR TSM'!X33+'Sch DM TSM'!X33+'Sch DS TSM'!X33+'Sch DT TSM'!X33+'Sch DT-RV TSM'!X33+'Sch DR-TOU TSM'!X33+'Sch TOU-DR TSM'!X33+'Sch DR-SES TSM'!X33+'Sch EV-TOU  TSM'!X33+'Sch EV-TOU -2 TSM'!X33</f>
        <v>0</v>
      </c>
      <c r="I33" s="50">
        <f>IF(SUM(F33:H33)=0,0,SUM(F33:H33)/'Resid Cust Fcst '!BY34)</f>
        <v>0</v>
      </c>
      <c r="J33" s="168">
        <f t="shared" si="0"/>
        <v>0</v>
      </c>
      <c r="K33" s="36">
        <f t="shared" si="1"/>
        <v>0</v>
      </c>
      <c r="L33" s="36">
        <f t="shared" si="2"/>
        <v>0</v>
      </c>
      <c r="M33" s="50">
        <f>IF(SUM(J33:L33)=0,0,SUM(J33:L33)/'Resid Cust Fcst '!BZ34)</f>
        <v>0</v>
      </c>
    </row>
    <row r="34" spans="1:13">
      <c r="A34" s="21" t="s">
        <v>125</v>
      </c>
      <c r="B34" s="168">
        <f>'Sch DR TSM'!R34+'Sch DM TSM'!R34+'Sch DS TSM'!R34+'Sch DT TSM'!R34+'Sch DT-RV TSM'!R34+'Sch DR-TOU TSM'!R34+'Sch TOU-DR TSM'!R34+'Sch DR-SES TSM'!R34+'Sch EV-TOU  TSM'!R34+'Sch EV-TOU -2 TSM'!R34</f>
        <v>0</v>
      </c>
      <c r="C34" s="36">
        <f>'Sch DR TSM'!S34+'Sch DM TSM'!S34+'Sch DS TSM'!S34+'Sch DT TSM'!S34+'Sch DT-RV TSM'!S34+'Sch DR-TOU TSM'!S34+'Sch TOU-DR TSM'!S34+'Sch DR-SES TSM'!S34+'Sch EV-TOU  TSM'!S34+'Sch EV-TOU -2 TSM'!S34</f>
        <v>0</v>
      </c>
      <c r="D34" s="36">
        <f>'Sch DR TSM'!T34+'Sch DM TSM'!T34+'Sch DS TSM'!T34+'Sch DT TSM'!T34+'Sch DT-RV TSM'!T34+'Sch DR-TOU TSM'!T34+'Sch TOU-DR TSM'!T34+'Sch DR-SES TSM'!T34+'Sch EV-TOU  TSM'!T34+'Sch EV-TOU -2 TSM'!T34</f>
        <v>0</v>
      </c>
      <c r="E34" s="50">
        <f>IF(SUM(B34:D34)=0,0,SUM(B34:D34)/'Resid Cust Fcst '!BX35)</f>
        <v>0</v>
      </c>
      <c r="F34" s="168">
        <f>'Sch DR TSM'!V34+'Sch DM TSM'!V34+'Sch DS TSM'!V34+'Sch DT TSM'!V34+'Sch DT-RV TSM'!V34+'Sch DR-TOU TSM'!V34+'Sch TOU-DR TSM'!V34+'Sch DR-SES TSM'!V34+'Sch EV-TOU  TSM'!V34+'Sch EV-TOU -2 TSM'!V34</f>
        <v>0</v>
      </c>
      <c r="G34" s="36">
        <f>'Sch DR TSM'!W34+'Sch DM TSM'!W34+'Sch DS TSM'!W34+'Sch DT TSM'!W34+'Sch DT-RV TSM'!W34+'Sch DR-TOU TSM'!W34+'Sch TOU-DR TSM'!W34+'Sch DR-SES TSM'!W34+'Sch EV-TOU  TSM'!W34+'Sch EV-TOU -2 TSM'!W34</f>
        <v>0</v>
      </c>
      <c r="H34" s="36">
        <f>'Sch DR TSM'!X34+'Sch DM TSM'!X34+'Sch DS TSM'!X34+'Sch DT TSM'!X34+'Sch DT-RV TSM'!X34+'Sch DR-TOU TSM'!X34+'Sch TOU-DR TSM'!X34+'Sch DR-SES TSM'!X34+'Sch EV-TOU  TSM'!X34+'Sch EV-TOU -2 TSM'!X34</f>
        <v>0</v>
      </c>
      <c r="I34" s="50">
        <f>IF(SUM(F34:H34)=0,0,SUM(F34:H34)/'Resid Cust Fcst '!BY35)</f>
        <v>0</v>
      </c>
      <c r="J34" s="168">
        <f t="shared" si="0"/>
        <v>0</v>
      </c>
      <c r="K34" s="36">
        <f t="shared" si="1"/>
        <v>0</v>
      </c>
      <c r="L34" s="36">
        <f t="shared" si="2"/>
        <v>0</v>
      </c>
      <c r="M34" s="50">
        <f>IF(SUM(J34:L34)=0,0,SUM(J34:L34)/'Resid Cust Fcst '!BZ35)</f>
        <v>0</v>
      </c>
    </row>
    <row r="35" spans="1:13">
      <c r="A35" s="21" t="s">
        <v>126</v>
      </c>
      <c r="B35" s="168">
        <f>'Sch DR TSM'!R35+'Sch DM TSM'!R35+'Sch DS TSM'!R35+'Sch DT TSM'!R35+'Sch DT-RV TSM'!R35+'Sch DR-TOU TSM'!R35+'Sch TOU-DR TSM'!R35+'Sch DR-SES TSM'!R35+'Sch EV-TOU  TSM'!R35+'Sch EV-TOU -2 TSM'!R35</f>
        <v>0</v>
      </c>
      <c r="C35" s="36">
        <f>'Sch DR TSM'!S35+'Sch DM TSM'!S35+'Sch DS TSM'!S35+'Sch DT TSM'!S35+'Sch DT-RV TSM'!S35+'Sch DR-TOU TSM'!S35+'Sch TOU-DR TSM'!S35+'Sch DR-SES TSM'!S35+'Sch EV-TOU  TSM'!S35+'Sch EV-TOU -2 TSM'!S35</f>
        <v>0</v>
      </c>
      <c r="D35" s="36">
        <f>'Sch DR TSM'!T35+'Sch DM TSM'!T35+'Sch DS TSM'!T35+'Sch DT TSM'!T35+'Sch DT-RV TSM'!T35+'Sch DR-TOU TSM'!T35+'Sch TOU-DR TSM'!T35+'Sch DR-SES TSM'!T35+'Sch EV-TOU  TSM'!T35+'Sch EV-TOU -2 TSM'!T35</f>
        <v>0</v>
      </c>
      <c r="E35" s="50">
        <f>IF(SUM(B35:D35)=0,0,SUM(B35:D35)/'Resid Cust Fcst '!BX36)</f>
        <v>0</v>
      </c>
      <c r="F35" s="168">
        <f>'Sch DR TSM'!V35+'Sch DM TSM'!V35+'Sch DS TSM'!V35+'Sch DT TSM'!V35+'Sch DT-RV TSM'!V35+'Sch DR-TOU TSM'!V35+'Sch TOU-DR TSM'!V35+'Sch DR-SES TSM'!V35+'Sch EV-TOU  TSM'!V35+'Sch EV-TOU -2 TSM'!V35</f>
        <v>0</v>
      </c>
      <c r="G35" s="36">
        <f>'Sch DR TSM'!W35+'Sch DM TSM'!W35+'Sch DS TSM'!W35+'Sch DT TSM'!W35+'Sch DT-RV TSM'!W35+'Sch DR-TOU TSM'!W35+'Sch TOU-DR TSM'!W35+'Sch DR-SES TSM'!W35+'Sch EV-TOU  TSM'!W35+'Sch EV-TOU -2 TSM'!W35</f>
        <v>0</v>
      </c>
      <c r="H35" s="36">
        <f>'Sch DR TSM'!X35+'Sch DM TSM'!X35+'Sch DS TSM'!X35+'Sch DT TSM'!X35+'Sch DT-RV TSM'!X35+'Sch DR-TOU TSM'!X35+'Sch TOU-DR TSM'!X35+'Sch DR-SES TSM'!X35+'Sch EV-TOU  TSM'!X35+'Sch EV-TOU -2 TSM'!X35</f>
        <v>0</v>
      </c>
      <c r="I35" s="50">
        <f>IF(SUM(F35:H35)=0,0,SUM(F35:H35)/'Resid Cust Fcst '!BY36)</f>
        <v>0</v>
      </c>
      <c r="J35" s="168">
        <f t="shared" si="0"/>
        <v>0</v>
      </c>
      <c r="K35" s="36">
        <f t="shared" si="1"/>
        <v>0</v>
      </c>
      <c r="L35" s="36">
        <f t="shared" si="2"/>
        <v>0</v>
      </c>
      <c r="M35" s="50">
        <f>IF(SUM(J35:L35)=0,0,SUM(J35:L35)/'Resid Cust Fcst '!BZ36)</f>
        <v>0</v>
      </c>
    </row>
    <row r="36" spans="1:13">
      <c r="A36" s="21" t="s">
        <v>26</v>
      </c>
      <c r="B36" s="168">
        <f>'Sch DR TSM'!R36+'Sch DM TSM'!R36+'Sch DS TSM'!R36+'Sch DT TSM'!R36+'Sch DT-RV TSM'!R36+'Sch DR-TOU TSM'!R36+'Sch TOU-DR TSM'!R36+'Sch DR-SES TSM'!R36+'Sch EV-TOU  TSM'!R36+'Sch EV-TOU -2 TSM'!R36</f>
        <v>0</v>
      </c>
      <c r="C36" s="36">
        <f>'Sch DR TSM'!S36+'Sch DM TSM'!S36+'Sch DS TSM'!S36+'Sch DT TSM'!S36+'Sch DT-RV TSM'!S36+'Sch DR-TOU TSM'!S36+'Sch TOU-DR TSM'!S36+'Sch DR-SES TSM'!S36+'Sch EV-TOU  TSM'!S36+'Sch EV-TOU -2 TSM'!S36</f>
        <v>0</v>
      </c>
      <c r="D36" s="36">
        <f>'Sch DR TSM'!T36+'Sch DM TSM'!T36+'Sch DS TSM'!T36+'Sch DT TSM'!T36+'Sch DT-RV TSM'!T36+'Sch DR-TOU TSM'!T36+'Sch TOU-DR TSM'!T36+'Sch DR-SES TSM'!T36+'Sch EV-TOU  TSM'!T36+'Sch EV-TOU -2 TSM'!T36</f>
        <v>0</v>
      </c>
      <c r="E36" s="50">
        <f>IF(SUM(B36:D36)=0,0,SUM(B36:D36)/'Resid Cust Fcst '!BX37)</f>
        <v>0</v>
      </c>
      <c r="F36" s="168">
        <f>'Sch DR TSM'!V36+'Sch DM TSM'!V36+'Sch DS TSM'!V36+'Sch DT TSM'!V36+'Sch DT-RV TSM'!V36+'Sch DR-TOU TSM'!V36+'Sch TOU-DR TSM'!V36+'Sch DR-SES TSM'!V36+'Sch EV-TOU  TSM'!V36+'Sch EV-TOU -2 TSM'!V36</f>
        <v>0</v>
      </c>
      <c r="G36" s="36">
        <f>'Sch DR TSM'!W36+'Sch DM TSM'!W36+'Sch DS TSM'!W36+'Sch DT TSM'!W36+'Sch DT-RV TSM'!W36+'Sch DR-TOU TSM'!W36+'Sch TOU-DR TSM'!W36+'Sch DR-SES TSM'!W36+'Sch EV-TOU  TSM'!W36+'Sch EV-TOU -2 TSM'!W36</f>
        <v>0</v>
      </c>
      <c r="H36" s="36">
        <f>'Sch DR TSM'!X36+'Sch DM TSM'!X36+'Sch DS TSM'!X36+'Sch DT TSM'!X36+'Sch DT-RV TSM'!X36+'Sch DR-TOU TSM'!X36+'Sch TOU-DR TSM'!X36+'Sch DR-SES TSM'!X36+'Sch EV-TOU  TSM'!X36+'Sch EV-TOU -2 TSM'!X36</f>
        <v>0</v>
      </c>
      <c r="I36" s="50">
        <f>IF(SUM(F36:H36)=0,0,SUM(F36:H36)/'Resid Cust Fcst '!BY37)</f>
        <v>0</v>
      </c>
      <c r="J36" s="168">
        <f t="shared" si="0"/>
        <v>0</v>
      </c>
      <c r="K36" s="36">
        <f t="shared" si="1"/>
        <v>0</v>
      </c>
      <c r="L36" s="36">
        <f t="shared" si="2"/>
        <v>0</v>
      </c>
      <c r="M36" s="50">
        <f>IF(SUM(J36:L36)=0,0,SUM(J36:L36)/'Resid Cust Fcst '!BZ37)</f>
        <v>0</v>
      </c>
    </row>
    <row r="37" spans="1:13">
      <c r="A37" s="21" t="s">
        <v>27</v>
      </c>
      <c r="B37" s="168">
        <f>'Sch DR TSM'!R37+'Sch DM TSM'!R37+'Sch DS TSM'!R37+'Sch DT TSM'!R37+'Sch DT-RV TSM'!R37+'Sch DR-TOU TSM'!R37+'Sch TOU-DR TSM'!R37+'Sch DR-SES TSM'!R37+'Sch EV-TOU  TSM'!R37+'Sch EV-TOU -2 TSM'!R37</f>
        <v>0</v>
      </c>
      <c r="C37" s="36">
        <f>'Sch DR TSM'!S37+'Sch DM TSM'!S37+'Sch DS TSM'!S37+'Sch DT TSM'!S37+'Sch DT-RV TSM'!S37+'Sch DR-TOU TSM'!S37+'Sch TOU-DR TSM'!S37+'Sch DR-SES TSM'!S37+'Sch EV-TOU  TSM'!S37+'Sch EV-TOU -2 TSM'!S37</f>
        <v>0</v>
      </c>
      <c r="D37" s="36">
        <f>'Sch DR TSM'!T37+'Sch DM TSM'!T37+'Sch DS TSM'!T37+'Sch DT TSM'!T37+'Sch DT-RV TSM'!T37+'Sch DR-TOU TSM'!T37+'Sch TOU-DR TSM'!T37+'Sch DR-SES TSM'!T37+'Sch EV-TOU  TSM'!T37+'Sch EV-TOU -2 TSM'!T37</f>
        <v>0</v>
      </c>
      <c r="E37" s="50">
        <f>IF(SUM(B37:D37)=0,0,SUM(B37:D37)/'Resid Cust Fcst '!BX38)</f>
        <v>0</v>
      </c>
      <c r="F37" s="168">
        <f>'Sch DR TSM'!V37+'Sch DM TSM'!V37+'Sch DS TSM'!V37+'Sch DT TSM'!V37+'Sch DT-RV TSM'!V37+'Sch DR-TOU TSM'!V37+'Sch TOU-DR TSM'!V37+'Sch DR-SES TSM'!V37+'Sch EV-TOU  TSM'!V37+'Sch EV-TOU -2 TSM'!V37</f>
        <v>0</v>
      </c>
      <c r="G37" s="36">
        <f>'Sch DR TSM'!W37+'Sch DM TSM'!W37+'Sch DS TSM'!W37+'Sch DT TSM'!W37+'Sch DT-RV TSM'!W37+'Sch DR-TOU TSM'!W37+'Sch TOU-DR TSM'!W37+'Sch DR-SES TSM'!W37+'Sch EV-TOU  TSM'!W37+'Sch EV-TOU -2 TSM'!W37</f>
        <v>0</v>
      </c>
      <c r="H37" s="36">
        <f>'Sch DR TSM'!X37+'Sch DM TSM'!X37+'Sch DS TSM'!X37+'Sch DT TSM'!X37+'Sch DT-RV TSM'!X37+'Sch DR-TOU TSM'!X37+'Sch TOU-DR TSM'!X37+'Sch DR-SES TSM'!X37+'Sch EV-TOU  TSM'!X37+'Sch EV-TOU -2 TSM'!X37</f>
        <v>0</v>
      </c>
      <c r="I37" s="50">
        <f>IF(SUM(F37:H37)=0,0,SUM(F37:H37)/'Resid Cust Fcst '!BY38)</f>
        <v>0</v>
      </c>
      <c r="J37" s="168">
        <f t="shared" si="0"/>
        <v>0</v>
      </c>
      <c r="K37" s="36">
        <f t="shared" si="1"/>
        <v>0</v>
      </c>
      <c r="L37" s="36">
        <f t="shared" si="2"/>
        <v>0</v>
      </c>
      <c r="M37" s="50">
        <f>IF(SUM(J37:L37)=0,0,SUM(J37:L37)/'Resid Cust Fcst '!BZ38)</f>
        <v>0</v>
      </c>
    </row>
    <row r="38" spans="1:13">
      <c r="A38" s="21"/>
      <c r="B38" s="168"/>
      <c r="C38" s="36"/>
      <c r="D38" s="36"/>
      <c r="E38" s="50"/>
      <c r="F38" s="168"/>
      <c r="G38" s="36"/>
      <c r="H38" s="36"/>
      <c r="I38" s="50"/>
      <c r="J38" s="168"/>
      <c r="K38" s="36"/>
      <c r="L38" s="36"/>
      <c r="M38" s="50"/>
    </row>
    <row r="39" spans="1:13">
      <c r="A39" s="33" t="s">
        <v>46</v>
      </c>
      <c r="B39" s="168">
        <f>SUM(B7:B37)/'Resid Cust Fcst '!$BX$40</f>
        <v>627.15129857278862</v>
      </c>
      <c r="C39" s="36">
        <f>SUM(C7:C37)/'Resid Cust Fcst '!$BX$40</f>
        <v>154.19943052130591</v>
      </c>
      <c r="D39" s="36">
        <f>SUM(D7:D37)/'Resid Cust Fcst '!$BX$40</f>
        <v>246.4660519789488</v>
      </c>
      <c r="E39" s="50">
        <f>SUM(B39:D39)</f>
        <v>1027.8167810730433</v>
      </c>
      <c r="F39" s="168">
        <f>SUM(F7:F37)/'Resid Cust Fcst '!$BY$40</f>
        <v>0</v>
      </c>
      <c r="G39" s="36">
        <f>SUM(G7:G37)/'Resid Cust Fcst '!$BY$40</f>
        <v>2227.96</v>
      </c>
      <c r="H39" s="36">
        <f>SUM(H7:H37)/'Resid Cust Fcst '!$BY$40</f>
        <v>1013.0400000000002</v>
      </c>
      <c r="I39" s="50">
        <f>SUM(F39:H39)</f>
        <v>3241</v>
      </c>
      <c r="J39" s="168">
        <f>SUM(J7:J37)/'Resid Cust Fcst '!$BZ$40</f>
        <v>627.12581218856428</v>
      </c>
      <c r="K39" s="36">
        <f>SUM(K7:K37)/'Resid Cust Fcst '!$BZ$40</f>
        <v>154.28370469690483</v>
      </c>
      <c r="L39" s="36">
        <f>SUM(L7:L37)/'Resid Cust Fcst '!$BZ$40</f>
        <v>246.49720426743175</v>
      </c>
      <c r="M39" s="50">
        <f>SUM(J39:L39)</f>
        <v>1027.9067211529009</v>
      </c>
    </row>
    <row r="40" spans="1:13" ht="13.5" thickBot="1">
      <c r="A40" s="15"/>
      <c r="B40" s="15"/>
      <c r="C40" s="32"/>
      <c r="D40" s="32"/>
      <c r="E40" s="17"/>
      <c r="F40" s="15"/>
      <c r="G40" s="32"/>
      <c r="H40" s="32"/>
      <c r="I40" s="17"/>
      <c r="J40" s="15"/>
      <c r="K40" s="32"/>
      <c r="L40" s="32"/>
      <c r="M40" s="17"/>
    </row>
    <row r="41" spans="1:13">
      <c r="E41" s="18"/>
    </row>
    <row r="43" spans="1:13">
      <c r="A43" t="s">
        <v>3</v>
      </c>
      <c r="J43" s="18"/>
    </row>
    <row r="51" spans="1:4">
      <c r="A51" s="19"/>
      <c r="B51" s="19"/>
      <c r="C51" s="19"/>
      <c r="D51" s="19"/>
    </row>
    <row r="63" spans="1:4">
      <c r="A63" s="19"/>
      <c r="B63" s="19"/>
      <c r="C63" s="19"/>
      <c r="D63" s="19"/>
    </row>
  </sheetData>
  <mergeCells count="4">
    <mergeCell ref="B2:E2"/>
    <mergeCell ref="F2:I2"/>
    <mergeCell ref="J2:M2"/>
    <mergeCell ref="A1:M1"/>
  </mergeCells>
  <phoneticPr fontId="0" type="noConversion"/>
  <printOptions horizontalCentered="1"/>
  <pageMargins left="0.75" right="0.75" top="1" bottom="1" header="0.5" footer="0.5"/>
  <pageSetup scale="54" orientation="portrait" r:id="rId1"/>
  <headerFooter alignWithMargins="0">
    <oddFooter>&amp;L&amp;F
&amp;A&amp;R&amp;P of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6">
    <tabColor rgb="FFC00000"/>
    <pageSetUpPr fitToPage="1"/>
  </sheetPr>
  <dimension ref="A1:M59"/>
  <sheetViews>
    <sheetView zoomScaleNormal="100" workbookViewId="0">
      <selection activeCell="A37" sqref="A37"/>
    </sheetView>
  </sheetViews>
  <sheetFormatPr defaultRowHeight="12.75"/>
  <cols>
    <col min="1" max="1" width="40.7109375" customWidth="1"/>
    <col min="2" max="12" width="10.28515625" customWidth="1"/>
    <col min="13" max="13" width="15" bestFit="1" customWidth="1"/>
  </cols>
  <sheetData>
    <row r="1" spans="1:13" ht="18.75" thickBot="1">
      <c r="A1" s="841" t="s">
        <v>110</v>
      </c>
      <c r="B1" s="841"/>
      <c r="C1" s="841"/>
      <c r="D1" s="841"/>
      <c r="E1" s="841"/>
      <c r="F1" s="841"/>
      <c r="G1" s="841"/>
      <c r="H1" s="841"/>
      <c r="I1" s="841"/>
      <c r="J1" s="841"/>
      <c r="K1" s="841"/>
      <c r="L1" s="841"/>
    </row>
    <row r="2" spans="1:13">
      <c r="A2" s="742"/>
      <c r="B2" s="740"/>
      <c r="C2" s="740"/>
      <c r="D2" s="740"/>
      <c r="E2" s="740"/>
      <c r="F2" s="740"/>
      <c r="G2" s="740"/>
      <c r="H2" s="740"/>
      <c r="I2" s="740"/>
      <c r="J2" s="740"/>
      <c r="K2" s="740"/>
      <c r="L2" s="741"/>
    </row>
    <row r="3" spans="1:13" ht="13.5" thickBot="1">
      <c r="A3" s="743" t="s">
        <v>47</v>
      </c>
      <c r="B3" s="744" t="s">
        <v>28</v>
      </c>
      <c r="C3" s="744" t="s">
        <v>29</v>
      </c>
      <c r="D3" s="744" t="s">
        <v>30</v>
      </c>
      <c r="E3" s="744" t="s">
        <v>31</v>
      </c>
      <c r="F3" s="744" t="s">
        <v>75</v>
      </c>
      <c r="G3" s="744" t="s">
        <v>73</v>
      </c>
      <c r="H3" s="744" t="s">
        <v>392</v>
      </c>
      <c r="I3" s="744" t="s">
        <v>74</v>
      </c>
      <c r="J3" s="744" t="s">
        <v>105</v>
      </c>
      <c r="K3" s="744" t="s">
        <v>104</v>
      </c>
      <c r="L3" s="745" t="s">
        <v>48</v>
      </c>
    </row>
    <row r="4" spans="1:13">
      <c r="A4" s="39"/>
      <c r="B4" s="6"/>
      <c r="C4" s="6"/>
      <c r="D4" s="6"/>
      <c r="E4" s="6"/>
      <c r="F4" s="6"/>
      <c r="G4" s="6"/>
      <c r="H4" s="6"/>
      <c r="I4" s="6"/>
      <c r="J4" s="6"/>
      <c r="K4" s="6"/>
      <c r="L4" s="7"/>
    </row>
    <row r="5" spans="1:13">
      <c r="A5" s="40"/>
      <c r="B5" s="8"/>
      <c r="C5" s="8"/>
      <c r="D5" s="8"/>
      <c r="E5" s="8"/>
      <c r="F5" s="8"/>
      <c r="G5" s="8"/>
      <c r="H5" s="8"/>
      <c r="I5" s="8"/>
      <c r="J5" s="8"/>
      <c r="K5" s="8"/>
      <c r="L5" s="9"/>
    </row>
    <row r="6" spans="1:13">
      <c r="A6" s="40" t="s">
        <v>49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44"/>
    </row>
    <row r="7" spans="1:13">
      <c r="A7" s="41"/>
      <c r="B7" s="34"/>
      <c r="C7" s="34"/>
      <c r="D7" s="34"/>
      <c r="E7" s="34"/>
      <c r="F7" s="34"/>
      <c r="G7" s="34"/>
      <c r="H7" s="34"/>
      <c r="I7" s="34"/>
      <c r="J7" s="34"/>
      <c r="K7" s="34"/>
      <c r="L7" s="44"/>
      <c r="M7" s="357" t="s">
        <v>102</v>
      </c>
    </row>
    <row r="8" spans="1:13">
      <c r="A8" s="40" t="s">
        <v>53</v>
      </c>
      <c r="B8" s="163">
        <f>'Sch DR TSM'!Z39</f>
        <v>624.70859022716911</v>
      </c>
      <c r="C8" s="37">
        <f>'Sch DM TSM'!Z39</f>
        <v>491.68968204501863</v>
      </c>
      <c r="D8" s="37">
        <f>'Sch DS TSM'!Z39</f>
        <v>944.99895840672514</v>
      </c>
      <c r="E8" s="37">
        <f>'Sch DT TSM'!Z39</f>
        <v>968.66316502288601</v>
      </c>
      <c r="F8" s="37">
        <f>'Sch DT-RV TSM'!Z39</f>
        <v>1469.2679358964074</v>
      </c>
      <c r="G8" s="163">
        <f>'Sch DR-TOU TSM'!Z39</f>
        <v>739.63350024466229</v>
      </c>
      <c r="H8" s="163">
        <f>'Sch TOU-DR TSM'!Z39</f>
        <v>705.17527475085933</v>
      </c>
      <c r="I8" s="37">
        <f>'Sch DR-SES TSM'!Z39</f>
        <v>829.28241253939291</v>
      </c>
      <c r="J8" s="37">
        <f>'Sch EV-TOU  TSM'!Z39</f>
        <v>720.10179315100333</v>
      </c>
      <c r="K8" s="37">
        <f>'Sch EV-TOU -2 TSM'!Z39</f>
        <v>876.20274630143206</v>
      </c>
      <c r="L8" s="49">
        <f>'Resid TSM Summary'!J39</f>
        <v>627.12581218856428</v>
      </c>
      <c r="M8" s="358">
        <f>(B8*'Resid Cust Fcst '!$H$40+C8*'Resid Cust Fcst '!$O$40+D8*'Resid Cust Fcst '!$V$40+E8*'Resid Cust Fcst '!$AC$40+F8*'Resid Cust Fcst '!$AJ$40+G8*'Resid Cust Fcst '!$AQ$40+H8*'Resid Cust Fcst '!$AX$40+I8*'Resid Cust Fcst '!$BE$40+J8*'Resid Cust Fcst '!$BL$40+K8*'Resid Cust Fcst '!$BS$40)/'Resid Cust Fcst '!$BZ$40-L8</f>
        <v>0</v>
      </c>
    </row>
    <row r="9" spans="1:13">
      <c r="A9" s="40" t="s">
        <v>51</v>
      </c>
      <c r="B9" s="163">
        <f>'Sch DR TSM'!AA39</f>
        <v>153.35209534468817</v>
      </c>
      <c r="C9" s="37">
        <f>'Sch DM TSM'!AA39</f>
        <v>164.70996247056519</v>
      </c>
      <c r="D9" s="37">
        <f>'Sch DS TSM'!AA39</f>
        <v>392.47608470306386</v>
      </c>
      <c r="E9" s="37">
        <f>'Sch DT TSM'!AA39</f>
        <v>1430.6991362897752</v>
      </c>
      <c r="F9" s="37">
        <f>'Sch DT-RV TSM'!AA39</f>
        <v>866.70148189301653</v>
      </c>
      <c r="G9" s="163">
        <f>'Sch DR-TOU TSM'!AA39</f>
        <v>177.2054366860084</v>
      </c>
      <c r="H9" s="163">
        <f>'Sch TOU-DR TSM'!AA39</f>
        <v>163.20881021869224</v>
      </c>
      <c r="I9" s="37">
        <f>'Sch DR-SES TSM'!AA39</f>
        <v>191.31633337497917</v>
      </c>
      <c r="J9" s="37">
        <f>'Sch EV-TOU  TSM'!AA39</f>
        <v>158.54137565383024</v>
      </c>
      <c r="K9" s="37">
        <f>'Sch EV-TOU -2 TSM'!AA39</f>
        <v>195.11291333869841</v>
      </c>
      <c r="L9" s="49">
        <f>'Resid TSM Summary'!K39</f>
        <v>154.28370469690483</v>
      </c>
      <c r="M9" s="358">
        <f>(B9*'Resid Cust Fcst '!$H$40+C9*'Resid Cust Fcst '!$O$40+D9*'Resid Cust Fcst '!$V$40+E9*'Resid Cust Fcst '!$AC$40+F9*'Resid Cust Fcst '!$AJ$40+G9*'Resid Cust Fcst '!$AQ$40+H9*'Resid Cust Fcst '!$AX$40+I9*'Resid Cust Fcst '!$BE$40+J9*'Resid Cust Fcst '!$BL$40+K9*'Resid Cust Fcst '!$BS$40)/'Resid Cust Fcst '!$BZ$40-L9</f>
        <v>0</v>
      </c>
    </row>
    <row r="10" spans="1:13">
      <c r="A10" s="40" t="s">
        <v>52</v>
      </c>
      <c r="B10" s="163">
        <f>'Sch DR TSM'!AB39</f>
        <v>246.44985885707982</v>
      </c>
      <c r="C10" s="37">
        <f>'Sch DM TSM'!AB39</f>
        <v>247.89192676229473</v>
      </c>
      <c r="D10" s="37">
        <f>'Sch DS TSM'!AB39</f>
        <v>266.79129207663425</v>
      </c>
      <c r="E10" s="37">
        <f>'Sch DT TSM'!AB39</f>
        <v>370.3363259841629</v>
      </c>
      <c r="F10" s="37">
        <f>'Sch DT-RV TSM'!AB39</f>
        <v>266.4378042986425</v>
      </c>
      <c r="G10" s="163">
        <f>'Sch DR-TOU TSM'!AB39</f>
        <v>246.24333484162892</v>
      </c>
      <c r="H10" s="163">
        <f>'Sch TOU-DR TSM'!AB39</f>
        <v>246.4962527044639</v>
      </c>
      <c r="I10" s="37">
        <f>'Sch DR-SES TSM'!AB39</f>
        <v>246.49313991784732</v>
      </c>
      <c r="J10" s="37">
        <f>'Sch EV-TOU  TSM'!AB39</f>
        <v>248.31746335728857</v>
      </c>
      <c r="K10" s="37">
        <f>'Sch EV-TOU -2 TSM'!AB39</f>
        <v>246.38152644516413</v>
      </c>
      <c r="L10" s="49">
        <f>'Resid TSM Summary'!L39</f>
        <v>246.49720426743175</v>
      </c>
      <c r="M10" s="358">
        <f>(B10*'Resid Cust Fcst '!$H$40+C10*'Resid Cust Fcst '!$O$40+D10*'Resid Cust Fcst '!$V$40+E10*'Resid Cust Fcst '!$AC$40+F10*'Resid Cust Fcst '!$AJ$40+G10*'Resid Cust Fcst '!$AQ$40+H10*'Resid Cust Fcst '!$AX$40+I10*'Resid Cust Fcst '!$BE$40+J10*'Resid Cust Fcst '!$BL$40+K10*'Resid Cust Fcst '!$BS$40)/'Resid Cust Fcst '!$BZ$40-L10</f>
        <v>0</v>
      </c>
    </row>
    <row r="11" spans="1:13">
      <c r="A11" s="42"/>
      <c r="B11" s="163"/>
      <c r="C11" s="163"/>
      <c r="D11" s="163"/>
      <c r="E11" s="163"/>
      <c r="F11" s="163"/>
      <c r="G11" s="434"/>
      <c r="H11" s="434"/>
      <c r="I11" s="434"/>
      <c r="J11" s="163"/>
      <c r="K11" s="163"/>
      <c r="L11" s="49"/>
      <c r="M11" s="358"/>
    </row>
    <row r="12" spans="1:13">
      <c r="A12" s="40" t="s">
        <v>35</v>
      </c>
      <c r="B12" s="163">
        <f t="shared" ref="B12:L12" si="0">SUM(B8:B10)</f>
        <v>1024.510544428937</v>
      </c>
      <c r="C12" s="163">
        <f t="shared" si="0"/>
        <v>904.29157127787846</v>
      </c>
      <c r="D12" s="163">
        <f t="shared" si="0"/>
        <v>1604.2663351864235</v>
      </c>
      <c r="E12" s="163">
        <f t="shared" si="0"/>
        <v>2769.6986272968243</v>
      </c>
      <c r="F12" s="163">
        <f t="shared" si="0"/>
        <v>2602.4072220880662</v>
      </c>
      <c r="G12" s="163">
        <f>SUM(G8:G10)</f>
        <v>1163.0822717722997</v>
      </c>
      <c r="H12" s="163">
        <f>SUM(H8:H10)</f>
        <v>1114.8803376740154</v>
      </c>
      <c r="I12" s="163">
        <f>SUM(I8:I10)</f>
        <v>1267.0918858322193</v>
      </c>
      <c r="J12" s="163">
        <f t="shared" si="0"/>
        <v>1126.960632162122</v>
      </c>
      <c r="K12" s="163">
        <f t="shared" si="0"/>
        <v>1317.6971860852946</v>
      </c>
      <c r="L12" s="49">
        <f t="shared" si="0"/>
        <v>1027.9067211529009</v>
      </c>
      <c r="M12" s="358">
        <f>(B12*'Resid Cust Fcst '!$H$40+C12*'Resid Cust Fcst '!$O$40+D12*'Resid Cust Fcst '!$V$40+E12*'Resid Cust Fcst '!$AC$40+F12*'Resid Cust Fcst '!$AJ$40+G12*'Resid Cust Fcst '!$AQ$40+H12*'Resid Cust Fcst '!$AX$40+I12*'Resid Cust Fcst '!$BE$40+J12*'Resid Cust Fcst '!$BL$40+K12*'Resid Cust Fcst '!$BS$40)/'Resid Cust Fcst '!$BZ$40-L12</f>
        <v>0</v>
      </c>
    </row>
    <row r="13" spans="1:13">
      <c r="A13" s="42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44"/>
    </row>
    <row r="14" spans="1:13">
      <c r="A14" s="40" t="s">
        <v>65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44"/>
    </row>
    <row r="15" spans="1:13">
      <c r="A15" s="53">
        <f>Inputs!C3</f>
        <v>2.7723662892949787E-2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44"/>
    </row>
    <row r="16" spans="1:13">
      <c r="A16" s="40" t="s">
        <v>64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44"/>
    </row>
    <row r="17" spans="1:12">
      <c r="A17" s="53">
        <f>Inputs!C4</f>
        <v>1.5023E-2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44"/>
    </row>
    <row r="18" spans="1:12">
      <c r="A18" s="42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44"/>
    </row>
    <row r="19" spans="1:12">
      <c r="A19" s="122" t="s">
        <v>111</v>
      </c>
      <c r="B19" s="34">
        <f t="shared" ref="B19:L21" si="1">(B8*(1+$A$15)*(1+$A$17))</f>
        <v>651.67298423720501</v>
      </c>
      <c r="C19" s="34">
        <f t="shared" si="1"/>
        <v>512.91256023932999</v>
      </c>
      <c r="D19" s="34">
        <f t="shared" si="1"/>
        <v>985.78809537743086</v>
      </c>
      <c r="E19" s="34">
        <f t="shared" si="1"/>
        <v>1010.4737238230898</v>
      </c>
      <c r="F19" s="34">
        <f t="shared" si="1"/>
        <v>1532.6861762561505</v>
      </c>
      <c r="G19" s="34">
        <f t="shared" si="1"/>
        <v>771.55841601437612</v>
      </c>
      <c r="H19" s="34">
        <f t="shared" si="1"/>
        <v>735.6128647759989</v>
      </c>
      <c r="I19" s="34">
        <f t="shared" si="1"/>
        <v>865.07685824914995</v>
      </c>
      <c r="J19" s="34">
        <f t="shared" si="1"/>
        <v>751.18365881063221</v>
      </c>
      <c r="K19" s="34">
        <f t="shared" si="1"/>
        <v>914.02242167256122</v>
      </c>
      <c r="L19" s="44">
        <f t="shared" si="1"/>
        <v>654.19454112595099</v>
      </c>
    </row>
    <row r="20" spans="1:12">
      <c r="A20" s="122" t="s">
        <v>51</v>
      </c>
      <c r="B20" s="34">
        <f t="shared" si="1"/>
        <v>159.97125567932528</v>
      </c>
      <c r="C20" s="34">
        <f t="shared" si="1"/>
        <v>171.81936418988442</v>
      </c>
      <c r="D20" s="34">
        <f t="shared" si="1"/>
        <v>409.41659096951565</v>
      </c>
      <c r="E20" s="34">
        <f t="shared" si="1"/>
        <v>1492.4526255553974</v>
      </c>
      <c r="F20" s="34">
        <f t="shared" si="1"/>
        <v>904.11105271122312</v>
      </c>
      <c r="G20" s="34">
        <f t="shared" si="1"/>
        <v>184.85418250169255</v>
      </c>
      <c r="H20" s="34">
        <f t="shared" si="1"/>
        <v>170.25341746996386</v>
      </c>
      <c r="I20" s="34">
        <f t="shared" si="1"/>
        <v>199.57415001841991</v>
      </c>
      <c r="J20" s="34">
        <f t="shared" si="1"/>
        <v>165.38452170128323</v>
      </c>
      <c r="K20" s="34">
        <f t="shared" si="1"/>
        <v>203.53460235340765</v>
      </c>
      <c r="L20" s="44">
        <f t="shared" si="1"/>
        <v>160.94307623085885</v>
      </c>
    </row>
    <row r="21" spans="1:12">
      <c r="A21" s="122" t="s">
        <v>52</v>
      </c>
      <c r="B21" s="34">
        <f t="shared" si="1"/>
        <v>257.08741243309754</v>
      </c>
      <c r="C21" s="34">
        <f t="shared" si="1"/>
        <v>258.59172453951885</v>
      </c>
      <c r="D21" s="34">
        <f t="shared" si="1"/>
        <v>278.3068460974057</v>
      </c>
      <c r="E21" s="34">
        <f t="shared" si="1"/>
        <v>386.32121040272801</v>
      </c>
      <c r="F21" s="34">
        <f t="shared" si="1"/>
        <v>277.93810067149201</v>
      </c>
      <c r="G21" s="34">
        <f t="shared" si="1"/>
        <v>256.87197418945726</v>
      </c>
      <c r="H21" s="34">
        <f t="shared" si="1"/>
        <v>257.13580878532963</v>
      </c>
      <c r="I21" s="34">
        <f t="shared" si="1"/>
        <v>257.13256164102035</v>
      </c>
      <c r="J21" s="34">
        <f t="shared" si="1"/>
        <v>259.03562863672505</v>
      </c>
      <c r="K21" s="34">
        <f t="shared" si="1"/>
        <v>257.016130578662</v>
      </c>
      <c r="L21" s="44">
        <f t="shared" si="1"/>
        <v>257.13680142075782</v>
      </c>
    </row>
    <row r="22" spans="1:12">
      <c r="A22" s="42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44"/>
    </row>
    <row r="23" spans="1:12">
      <c r="A23" s="40" t="s">
        <v>35</v>
      </c>
      <c r="B23" s="34">
        <f>SUM(B19:B21)</f>
        <v>1068.7316523496279</v>
      </c>
      <c r="C23" s="34">
        <f t="shared" ref="C23:K23" si="2">SUM(C19:C21)</f>
        <v>943.32364896873321</v>
      </c>
      <c r="D23" s="34">
        <f t="shared" si="2"/>
        <v>1673.5115324443523</v>
      </c>
      <c r="E23" s="34">
        <f t="shared" si="2"/>
        <v>2889.2475597812154</v>
      </c>
      <c r="F23" s="34">
        <f t="shared" si="2"/>
        <v>2714.7353296388656</v>
      </c>
      <c r="G23" s="34">
        <f t="shared" si="2"/>
        <v>1213.284572705526</v>
      </c>
      <c r="H23" s="34">
        <f>SUM(H19:H21)</f>
        <v>1163.0020910312924</v>
      </c>
      <c r="I23" s="34">
        <f t="shared" si="2"/>
        <v>1321.7835699085904</v>
      </c>
      <c r="J23" s="34">
        <f t="shared" si="2"/>
        <v>1175.6038091486405</v>
      </c>
      <c r="K23" s="34">
        <f t="shared" si="2"/>
        <v>1374.5731546046309</v>
      </c>
      <c r="L23" s="44">
        <f>SUM(L19:L21)</f>
        <v>1072.2744187775677</v>
      </c>
    </row>
    <row r="24" spans="1:12">
      <c r="A24" s="40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44"/>
    </row>
    <row r="25" spans="1:12">
      <c r="A25" s="805" t="str">
        <f>_xlfn.CONCAT("Annualized Transformer Cost at ", ROUND((Inputs!C5*100),2),"%")</f>
        <v>Annualized Transformer Cost at 8.05%</v>
      </c>
      <c r="B25" s="97">
        <f>B19*Inputs!$C$5</f>
        <v>52.445770180644196</v>
      </c>
      <c r="C25" s="97">
        <f>C19*Inputs!$C$5</f>
        <v>41.278516844709728</v>
      </c>
      <c r="D25" s="97">
        <f>D19*Inputs!$C$5</f>
        <v>79.33490745745118</v>
      </c>
      <c r="E25" s="97">
        <f>E19*Inputs!$C$5</f>
        <v>81.321573818557468</v>
      </c>
      <c r="F25" s="97">
        <f>F19*Inputs!$C$5</f>
        <v>123.34853354872465</v>
      </c>
      <c r="G25" s="97">
        <f>G19*Inputs!$C$5</f>
        <v>62.093989387325642</v>
      </c>
      <c r="H25" s="97">
        <f>H19*Inputs!$C$5</f>
        <v>59.201139499630578</v>
      </c>
      <c r="I25" s="97">
        <f>I19*Inputs!$C$5</f>
        <v>69.620228540599385</v>
      </c>
      <c r="J25" s="97">
        <f>J19*Inputs!$C$5</f>
        <v>60.454256178122932</v>
      </c>
      <c r="K25" s="97">
        <f>K19*Inputs!$C$5</f>
        <v>73.559302021865577</v>
      </c>
      <c r="L25" s="99">
        <f>L19*Inputs!$C$5</f>
        <v>52.648701706552679</v>
      </c>
    </row>
    <row r="26" spans="1:12">
      <c r="A26" s="805" t="str">
        <f>_xlfn.CONCAT("Annualized Services Cost at ", ROUND((Inputs!C6*100),2),"%")</f>
        <v>Annualized Services Cost at 7.08%</v>
      </c>
      <c r="B26" s="97">
        <f>B20*Inputs!$C$6</f>
        <v>11.321975209658808</v>
      </c>
      <c r="C26" s="97">
        <f>C20*Inputs!$C$6</f>
        <v>12.160525799689809</v>
      </c>
      <c r="D26" s="97">
        <f>D20*Inputs!$C$6</f>
        <v>28.976483767008133</v>
      </c>
      <c r="E26" s="97">
        <f>E20*Inputs!$C$6</f>
        <v>105.62842403388252</v>
      </c>
      <c r="F26" s="97">
        <f>F20*Inputs!$C$6</f>
        <v>63.988513949621648</v>
      </c>
      <c r="G26" s="97">
        <f>G20*Inputs!$C$6</f>
        <v>13.083065847037648</v>
      </c>
      <c r="H26" s="97">
        <f>H20*Inputs!$C$6</f>
        <v>12.049695826721868</v>
      </c>
      <c r="I26" s="97">
        <f>I20*Inputs!$C$6</f>
        <v>14.124872430374415</v>
      </c>
      <c r="J26" s="97">
        <f>J20*Inputs!$C$6</f>
        <v>11.705099436843438</v>
      </c>
      <c r="K26" s="97">
        <f>K20*Inputs!$C$6</f>
        <v>14.405173681779555</v>
      </c>
      <c r="L26" s="99">
        <f>L20*Inputs!$C$6</f>
        <v>11.390755867446206</v>
      </c>
    </row>
    <row r="27" spans="1:12" ht="15">
      <c r="A27" s="805" t="str">
        <f>_xlfn.CONCAT("Annualized Meter Cost at ", ROUND((Inputs!C7*100),2),"%")</f>
        <v>Annualized Meter Cost at 10.78%</v>
      </c>
      <c r="B27" s="627">
        <f>B21*Inputs!$C$7</f>
        <v>27.705397609591614</v>
      </c>
      <c r="C27" s="627">
        <f>C21*Inputs!$C$7</f>
        <v>27.867511984009578</v>
      </c>
      <c r="D27" s="627">
        <f>D21*Inputs!$C$7</f>
        <v>29.992140632737488</v>
      </c>
      <c r="E27" s="627">
        <f>E21*Inputs!$C$7</f>
        <v>41.63246515234033</v>
      </c>
      <c r="F27" s="627">
        <f>F21*Inputs!$C$7</f>
        <v>29.952402247474009</v>
      </c>
      <c r="G27" s="627">
        <f>G21*Inputs!$C$7</f>
        <v>27.682180595021059</v>
      </c>
      <c r="H27" s="627">
        <f>H21*Inputs!$C$7</f>
        <v>27.710613112632991</v>
      </c>
      <c r="I27" s="627">
        <f>I21*Inputs!$C$7</f>
        <v>27.710263179420263</v>
      </c>
      <c r="J27" s="627">
        <f>J21*Inputs!$C$7</f>
        <v>27.915349952415852</v>
      </c>
      <c r="K27" s="627">
        <f>K21*Inputs!$C$7</f>
        <v>27.697715817236265</v>
      </c>
      <c r="L27" s="626">
        <f>L21*Inputs!$C$7</f>
        <v>27.71072008542858</v>
      </c>
    </row>
    <row r="28" spans="1:12">
      <c r="A28" s="114" t="s">
        <v>380</v>
      </c>
      <c r="B28" s="97">
        <f>SUM(B25:B27)</f>
        <v>91.47314299989462</v>
      </c>
      <c r="C28" s="97">
        <f t="shared" ref="C28:L28" si="3">SUM(C25:C27)</f>
        <v>81.306554628409117</v>
      </c>
      <c r="D28" s="97">
        <f t="shared" si="3"/>
        <v>138.30353185719679</v>
      </c>
      <c r="E28" s="97">
        <f t="shared" si="3"/>
        <v>228.58246300478032</v>
      </c>
      <c r="F28" s="97">
        <f t="shared" si="3"/>
        <v>217.28944974582029</v>
      </c>
      <c r="G28" s="97">
        <f t="shared" si="3"/>
        <v>102.85923582938435</v>
      </c>
      <c r="H28" s="97">
        <f>SUM(H25:H27)</f>
        <v>98.961448438985428</v>
      </c>
      <c r="I28" s="97">
        <f t="shared" si="3"/>
        <v>111.45536415039406</v>
      </c>
      <c r="J28" s="97">
        <f t="shared" si="3"/>
        <v>100.07470556738222</v>
      </c>
      <c r="K28" s="97">
        <f t="shared" si="3"/>
        <v>115.66219152088141</v>
      </c>
      <c r="L28" s="99">
        <f t="shared" si="3"/>
        <v>91.750177659427465</v>
      </c>
    </row>
    <row r="29" spans="1:12">
      <c r="A29" s="53"/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44"/>
    </row>
    <row r="30" spans="1:12">
      <c r="A30" s="40" t="s">
        <v>50</v>
      </c>
      <c r="B30" s="34">
        <f>'Distribution O&amp;M Allocations'!B20</f>
        <v>8.4993296083999041</v>
      </c>
      <c r="C30" s="34">
        <f>'Distribution O&amp;M Allocations'!C20</f>
        <v>8.2812634440728026</v>
      </c>
      <c r="D30" s="34">
        <f>'Distribution O&amp;M Allocations'!D20</f>
        <v>23.862638788078673</v>
      </c>
      <c r="E30" s="34">
        <f>'Distribution O&amp;M Allocations'!E20</f>
        <v>68.718575001498508</v>
      </c>
      <c r="F30" s="34">
        <f>'Distribution O&amp;M Allocations'!F20</f>
        <v>38.517022768632643</v>
      </c>
      <c r="G30" s="34">
        <f>'Distribution O&amp;M Allocations'!G20</f>
        <v>9.6516777709059856</v>
      </c>
      <c r="H30" s="34">
        <f>'Distribution O&amp;M Allocations'!H20</f>
        <v>9.2730038420017635</v>
      </c>
      <c r="I30" s="34">
        <f>'Distribution O&amp;M Allocations'!I20</f>
        <v>10.650860477211589</v>
      </c>
      <c r="J30" s="34">
        <f>'Distribution O&amp;M Allocations'!J20</f>
        <v>9.485853550393827</v>
      </c>
      <c r="K30" s="34">
        <f>'Distribution O&amp;M Allocations'!K20</f>
        <v>10.984703308496584</v>
      </c>
      <c r="L30" s="44">
        <f>'Distribution O&amp;M Allocations'!L20</f>
        <v>8.5473784783651308</v>
      </c>
    </row>
    <row r="31" spans="1:12">
      <c r="A31" s="11"/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44"/>
    </row>
    <row r="32" spans="1:12">
      <c r="A32" s="40" t="s">
        <v>61</v>
      </c>
      <c r="B32" s="34">
        <f>'Cust Service Cost Allocations'!B76</f>
        <v>26.486575578273055</v>
      </c>
      <c r="C32" s="34">
        <f>'Cust Service Cost Allocations'!C76</f>
        <v>26.486575578273055</v>
      </c>
      <c r="D32" s="34">
        <f>'Cust Service Cost Allocations'!D76</f>
        <v>26.486575578273055</v>
      </c>
      <c r="E32" s="34">
        <f>'Cust Service Cost Allocations'!E76</f>
        <v>26.486575578273058</v>
      </c>
      <c r="F32" s="34">
        <f>'Cust Service Cost Allocations'!F76</f>
        <v>26.486575578273062</v>
      </c>
      <c r="G32" s="34">
        <f>'Cust Service Cost Allocations'!G76</f>
        <v>26.486575578273058</v>
      </c>
      <c r="H32" s="34">
        <f>'Cust Service Cost Allocations'!H76</f>
        <v>26.486575578273055</v>
      </c>
      <c r="I32" s="34">
        <f>'Cust Service Cost Allocations'!I76</f>
        <v>26.486575578273055</v>
      </c>
      <c r="J32" s="34">
        <f>'Cust Service Cost Allocations'!J76</f>
        <v>26.486575578273051</v>
      </c>
      <c r="K32" s="34">
        <f>'Cust Service Cost Allocations'!K76</f>
        <v>26.486575578273047</v>
      </c>
      <c r="L32" s="44">
        <f>'Cust Service Cost Allocations'!L76</f>
        <v>26.486575578273055</v>
      </c>
    </row>
    <row r="33" spans="1:12">
      <c r="A33" s="11"/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44"/>
    </row>
    <row r="34" spans="1:12">
      <c r="A34" s="40" t="s">
        <v>97</v>
      </c>
      <c r="B34" s="34">
        <f t="shared" ref="B34:L34" si="4">B28+B30+B32</f>
        <v>126.45904818656757</v>
      </c>
      <c r="C34" s="34">
        <f t="shared" si="4"/>
        <v>116.07439365075498</v>
      </c>
      <c r="D34" s="34">
        <f t="shared" si="4"/>
        <v>188.65274622354852</v>
      </c>
      <c r="E34" s="34">
        <f t="shared" si="4"/>
        <v>323.78761358455188</v>
      </c>
      <c r="F34" s="34">
        <f t="shared" si="4"/>
        <v>282.293048092726</v>
      </c>
      <c r="G34" s="34">
        <f>G28+G30+G32</f>
        <v>138.9974891785634</v>
      </c>
      <c r="H34" s="34">
        <f>H28+H30+H32</f>
        <v>134.72102785926026</v>
      </c>
      <c r="I34" s="34">
        <f>I28+I30+I32</f>
        <v>148.59280020587872</v>
      </c>
      <c r="J34" s="34">
        <f t="shared" si="4"/>
        <v>136.04713469604911</v>
      </c>
      <c r="K34" s="34">
        <f t="shared" si="4"/>
        <v>153.13347040765103</v>
      </c>
      <c r="L34" s="44">
        <f t="shared" si="4"/>
        <v>126.78413171606564</v>
      </c>
    </row>
    <row r="35" spans="1:12" ht="13.5" thickBot="1">
      <c r="A35" s="15"/>
      <c r="B35" s="115"/>
      <c r="C35" s="115"/>
      <c r="D35" s="115"/>
      <c r="E35" s="115"/>
      <c r="F35" s="115"/>
      <c r="G35" s="115"/>
      <c r="H35" s="115"/>
      <c r="I35" s="115"/>
      <c r="J35" s="115"/>
      <c r="K35" s="115"/>
      <c r="L35" s="116"/>
    </row>
    <row r="36" spans="1:12">
      <c r="A36" s="1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</row>
    <row r="37" spans="1:12"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620"/>
    </row>
    <row r="39" spans="1:12">
      <c r="A39" s="804"/>
    </row>
    <row r="40" spans="1:12">
      <c r="A40" s="122"/>
    </row>
    <row r="41" spans="1:12">
      <c r="A41" s="122"/>
    </row>
    <row r="47" spans="1:12">
      <c r="A47" s="19"/>
    </row>
    <row r="59" spans="1:1">
      <c r="A59" s="19"/>
    </row>
  </sheetData>
  <mergeCells count="1">
    <mergeCell ref="A1:L1"/>
  </mergeCells>
  <phoneticPr fontId="0" type="noConversion"/>
  <printOptions horizontalCentered="1"/>
  <pageMargins left="0.75" right="0.75" top="1" bottom="1" header="0.5" footer="0.5"/>
  <pageSetup scale="69" orientation="portrait" r:id="rId1"/>
  <headerFooter alignWithMargins="0">
    <oddFooter>&amp;L&amp;F
&amp;A&amp;R&amp;P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70</vt:i4>
      </vt:variant>
      <vt:variant>
        <vt:lpstr>Named Ranges</vt:lpstr>
      </vt:variant>
      <vt:variant>
        <vt:i4>94</vt:i4>
      </vt:variant>
    </vt:vector>
  </HeadingPairs>
  <TitlesOfParts>
    <vt:vector size="164" baseType="lpstr">
      <vt:lpstr>Tab Descriptions</vt:lpstr>
      <vt:lpstr>Marg Cust Cost Summary</vt:lpstr>
      <vt:lpstr>Marg Cust Cost by Rate Schedule</vt:lpstr>
      <vt:lpstr>Inputs</vt:lpstr>
      <vt:lpstr>Resid Cust Fcst </vt:lpstr>
      <vt:lpstr>Resid TSM UC</vt:lpstr>
      <vt:lpstr>Resid TSM UC Adj</vt:lpstr>
      <vt:lpstr>Resid TSM Summary</vt:lpstr>
      <vt:lpstr>Resid TSM Sum by Rate Schedule</vt:lpstr>
      <vt:lpstr>Resid Cust Cost Summary</vt:lpstr>
      <vt:lpstr>Sch DR TSM</vt:lpstr>
      <vt:lpstr>Sch DM TSM</vt:lpstr>
      <vt:lpstr>Sch DS TSM</vt:lpstr>
      <vt:lpstr>Sch DT TSM</vt:lpstr>
      <vt:lpstr>Sch DT-RV TSM</vt:lpstr>
      <vt:lpstr>Sch DR-TOU TSM</vt:lpstr>
      <vt:lpstr>Sch TOU-DR TSM</vt:lpstr>
      <vt:lpstr>Sch DR-SES TSM</vt:lpstr>
      <vt:lpstr>Sch EV-TOU  TSM</vt:lpstr>
      <vt:lpstr>Sch EV-TOU -2 TSM</vt:lpstr>
      <vt:lpstr>Sm Comm Cust Fcst</vt:lpstr>
      <vt:lpstr>Sm Comm TSM Summary</vt:lpstr>
      <vt:lpstr>Sm Comm Cust Cost Summary</vt:lpstr>
      <vt:lpstr>Sch TOU-A TSM</vt:lpstr>
      <vt:lpstr>Sch TOU-A TSM Summary</vt:lpstr>
      <vt:lpstr>Sch TOU-A Cust Cost Summary</vt:lpstr>
      <vt:lpstr>Sch A-TC TSM</vt:lpstr>
      <vt:lpstr>Sch A-TC TSM Summary</vt:lpstr>
      <vt:lpstr>Sch A-TC Cust Cost Summary</vt:lpstr>
      <vt:lpstr>Sch A-TOU TSM</vt:lpstr>
      <vt:lpstr>Sch A-TOU TSM Summary</vt:lpstr>
      <vt:lpstr>Sch A-TOU Cust Cost Summary</vt:lpstr>
      <vt:lpstr>Sch UM TSM</vt:lpstr>
      <vt:lpstr>Sch UM TSM Summary</vt:lpstr>
      <vt:lpstr>Sch UM Cust Cost Summary</vt:lpstr>
      <vt:lpstr>M-L C&amp;I TSM Summary</vt:lpstr>
      <vt:lpstr>M-L C&amp;I Cust Cost Summary </vt:lpstr>
      <vt:lpstr>Sch OL-TOU Cust Fcst</vt:lpstr>
      <vt:lpstr>Sch OL-TOU TSM</vt:lpstr>
      <vt:lpstr>Sch OL-TOU TSM Summary</vt:lpstr>
      <vt:lpstr>Sch OL-TOU Cust Cost Summary</vt:lpstr>
      <vt:lpstr>Sch AL-TOU Cust Fcst</vt:lpstr>
      <vt:lpstr>Sch AL-TOU TSM</vt:lpstr>
      <vt:lpstr>Sch AL-TOU TSM Summary</vt:lpstr>
      <vt:lpstr>Sch AL-TOU Cust Cost Summary</vt:lpstr>
      <vt:lpstr>Sch DG-R Cust Fcst</vt:lpstr>
      <vt:lpstr>Sch DG-R TSM</vt:lpstr>
      <vt:lpstr>Sch DG-R TSM Summary</vt:lpstr>
      <vt:lpstr>Sch DG-R Cust Cost Summary</vt:lpstr>
      <vt:lpstr>Sch A6-TOU Cust Fcst </vt:lpstr>
      <vt:lpstr>Sch A6-TOU TSM</vt:lpstr>
      <vt:lpstr>Sch A6-TOU TSM Summary</vt:lpstr>
      <vt:lpstr>Sch A6-TOU Cust Cost Summary</vt:lpstr>
      <vt:lpstr>Agric TSM Summary</vt:lpstr>
      <vt:lpstr>Agric Cust Cost Summary</vt:lpstr>
      <vt:lpstr>Sch PA-T-1 Cust Fcst</vt:lpstr>
      <vt:lpstr>Sch PA-T-1 TSM</vt:lpstr>
      <vt:lpstr>Sch PA-T-1 TSM Summary</vt:lpstr>
      <vt:lpstr>Sch PA-T-1 Cust Cost Summary</vt:lpstr>
      <vt:lpstr>Sch TOU-PA Cust Fcst</vt:lpstr>
      <vt:lpstr>Sch TOU-PA TSM</vt:lpstr>
      <vt:lpstr>Sch TOU-PA TSM Summary</vt:lpstr>
      <vt:lpstr>Sch TOU-PA Cust Cost Summary</vt:lpstr>
      <vt:lpstr>Street Light Cust Cost Summary</vt:lpstr>
      <vt:lpstr>Non-Residential TSM UC</vt:lpstr>
      <vt:lpstr>Non-Residential TSM UC Adj</vt:lpstr>
      <vt:lpstr>Total Customers</vt:lpstr>
      <vt:lpstr>Cust Service Cost Allocations</vt:lpstr>
      <vt:lpstr>TSM Cap Cost Allocations</vt:lpstr>
      <vt:lpstr>Distribution O&amp;M Allocations</vt:lpstr>
      <vt:lpstr>'Agric Cust Cost Summary'!Print_Area</vt:lpstr>
      <vt:lpstr>'Agric TSM Summary'!Print_Area</vt:lpstr>
      <vt:lpstr>'Cust Service Cost Allocations'!Print_Area</vt:lpstr>
      <vt:lpstr>'Distribution O&amp;M Allocations'!Print_Area</vt:lpstr>
      <vt:lpstr>'Marg Cust Cost by Rate Schedule'!Print_Area</vt:lpstr>
      <vt:lpstr>'Marg Cust Cost Summary'!Print_Area</vt:lpstr>
      <vt:lpstr>'M-L C&amp;I Cust Cost Summary '!Print_Area</vt:lpstr>
      <vt:lpstr>'M-L C&amp;I TSM Summary'!Print_Area</vt:lpstr>
      <vt:lpstr>'Non-Residential TSM UC'!Print_Area</vt:lpstr>
      <vt:lpstr>'Non-Residential TSM UC Adj'!Print_Area</vt:lpstr>
      <vt:lpstr>'Resid Cust Cost Summary'!Print_Area</vt:lpstr>
      <vt:lpstr>'Resid Cust Fcst '!Print_Area</vt:lpstr>
      <vt:lpstr>'Resid TSM Sum by Rate Schedule'!Print_Area</vt:lpstr>
      <vt:lpstr>'Resid TSM Summary'!Print_Area</vt:lpstr>
      <vt:lpstr>'Resid TSM UC'!Print_Area</vt:lpstr>
      <vt:lpstr>'Resid TSM UC Adj'!Print_Area</vt:lpstr>
      <vt:lpstr>'Sch A6-TOU Cust Cost Summary'!Print_Area</vt:lpstr>
      <vt:lpstr>'Sch A6-TOU Cust Fcst '!Print_Area</vt:lpstr>
      <vt:lpstr>'Sch A6-TOU TSM'!Print_Area</vt:lpstr>
      <vt:lpstr>'Sch A6-TOU TSM Summary'!Print_Area</vt:lpstr>
      <vt:lpstr>'Sch AL-TOU Cust Cost Summary'!Print_Area</vt:lpstr>
      <vt:lpstr>'Sch AL-TOU Cust Fcst'!Print_Area</vt:lpstr>
      <vt:lpstr>'Sch AL-TOU TSM'!Print_Area</vt:lpstr>
      <vt:lpstr>'Sch AL-TOU TSM Summary'!Print_Area</vt:lpstr>
      <vt:lpstr>'Sch A-TC Cust Cost Summary'!Print_Area</vt:lpstr>
      <vt:lpstr>'Sch A-TC TSM'!Print_Area</vt:lpstr>
      <vt:lpstr>'Sch A-TC TSM Summary'!Print_Area</vt:lpstr>
      <vt:lpstr>'Sch A-TOU Cust Cost Summary'!Print_Area</vt:lpstr>
      <vt:lpstr>'Sch A-TOU TSM'!Print_Area</vt:lpstr>
      <vt:lpstr>'Sch A-TOU TSM Summary'!Print_Area</vt:lpstr>
      <vt:lpstr>'Sch DG-R Cust Cost Summary'!Print_Area</vt:lpstr>
      <vt:lpstr>'Sch DG-R Cust Fcst'!Print_Area</vt:lpstr>
      <vt:lpstr>'Sch DG-R TSM'!Print_Area</vt:lpstr>
      <vt:lpstr>'Sch DG-R TSM Summary'!Print_Area</vt:lpstr>
      <vt:lpstr>'Sch DM TSM'!Print_Area</vt:lpstr>
      <vt:lpstr>'Sch DR TSM'!Print_Area</vt:lpstr>
      <vt:lpstr>'Sch DR-SES TSM'!Print_Area</vt:lpstr>
      <vt:lpstr>'Sch DR-TOU TSM'!Print_Area</vt:lpstr>
      <vt:lpstr>'Sch DS TSM'!Print_Area</vt:lpstr>
      <vt:lpstr>'Sch DT TSM'!Print_Area</vt:lpstr>
      <vt:lpstr>'Sch DT-RV TSM'!Print_Area</vt:lpstr>
      <vt:lpstr>'Sch EV-TOU  TSM'!Print_Area</vt:lpstr>
      <vt:lpstr>'Sch EV-TOU -2 TSM'!Print_Area</vt:lpstr>
      <vt:lpstr>'Sch OL-TOU Cust Cost Summary'!Print_Area</vt:lpstr>
      <vt:lpstr>'Sch OL-TOU Cust Fcst'!Print_Area</vt:lpstr>
      <vt:lpstr>'Sch OL-TOU TSM'!Print_Area</vt:lpstr>
      <vt:lpstr>'Sch OL-TOU TSM Summary'!Print_Area</vt:lpstr>
      <vt:lpstr>'Sch PA-T-1 Cust Cost Summary'!Print_Area</vt:lpstr>
      <vt:lpstr>'Sch PA-T-1 Cust Fcst'!Print_Area</vt:lpstr>
      <vt:lpstr>'Sch PA-T-1 TSM'!Print_Area</vt:lpstr>
      <vt:lpstr>'Sch PA-T-1 TSM Summary'!Print_Area</vt:lpstr>
      <vt:lpstr>'Sch TOU-A Cust Cost Summary'!Print_Area</vt:lpstr>
      <vt:lpstr>'Sch TOU-A TSM'!Print_Area</vt:lpstr>
      <vt:lpstr>'Sch TOU-A TSM Summary'!Print_Area</vt:lpstr>
      <vt:lpstr>'Sch TOU-DR TSM'!Print_Area</vt:lpstr>
      <vt:lpstr>'Sch TOU-PA Cust Cost Summary'!Print_Area</vt:lpstr>
      <vt:lpstr>'Sch TOU-PA Cust Fcst'!Print_Area</vt:lpstr>
      <vt:lpstr>'Sch TOU-PA TSM'!Print_Area</vt:lpstr>
      <vt:lpstr>'Sch TOU-PA TSM Summary'!Print_Area</vt:lpstr>
      <vt:lpstr>'Sch UM Cust Cost Summary'!Print_Area</vt:lpstr>
      <vt:lpstr>'Sch UM TSM'!Print_Area</vt:lpstr>
      <vt:lpstr>'Sch UM TSM Summary'!Print_Area</vt:lpstr>
      <vt:lpstr>'Sm Comm Cust Cost Summary'!Print_Area</vt:lpstr>
      <vt:lpstr>'Sm Comm Cust Fcst'!Print_Area</vt:lpstr>
      <vt:lpstr>'Sm Comm TSM Summary'!Print_Area</vt:lpstr>
      <vt:lpstr>'Street Light Cust Cost Summary'!Print_Area</vt:lpstr>
      <vt:lpstr>'Tab Descriptions'!Print_Area</vt:lpstr>
      <vt:lpstr>'Total Customers'!Print_Area</vt:lpstr>
      <vt:lpstr>'TSM Cap Cost Allocations'!Print_Area</vt:lpstr>
      <vt:lpstr>'Cust Service Cost Allocations'!Print_Titles</vt:lpstr>
      <vt:lpstr>'Distribution O&amp;M Allocations'!Print_Titles</vt:lpstr>
      <vt:lpstr>'M-L C&amp;I Cust Cost Summary '!Print_Titles</vt:lpstr>
      <vt:lpstr>'M-L C&amp;I TSM Summary'!Print_Titles</vt:lpstr>
      <vt:lpstr>'Non-Residential TSM UC'!Print_Titles</vt:lpstr>
      <vt:lpstr>'Non-Residential TSM UC Adj'!Print_Titles</vt:lpstr>
      <vt:lpstr>'Resid Cust Fcst '!Print_Titles</vt:lpstr>
      <vt:lpstr>'Resid TSM UC'!Print_Titles</vt:lpstr>
      <vt:lpstr>'Resid TSM UC Adj'!Print_Titles</vt:lpstr>
      <vt:lpstr>'Sch AL-TOU Cust Cost Summary'!Print_Titles</vt:lpstr>
      <vt:lpstr>'Sch AL-TOU TSM'!Print_Titles</vt:lpstr>
      <vt:lpstr>'Sch DG-R TSM'!Print_Titles</vt:lpstr>
      <vt:lpstr>'Sch DM TSM'!Print_Titles</vt:lpstr>
      <vt:lpstr>'Sch DR TSM'!Print_Titles</vt:lpstr>
      <vt:lpstr>'Sch DR-SES TSM'!Print_Titles</vt:lpstr>
      <vt:lpstr>'Sch DR-TOU TSM'!Print_Titles</vt:lpstr>
      <vt:lpstr>'Sch DS TSM'!Print_Titles</vt:lpstr>
      <vt:lpstr>'Sch DT TSM'!Print_Titles</vt:lpstr>
      <vt:lpstr>'Sch DT-RV TSM'!Print_Titles</vt:lpstr>
      <vt:lpstr>'Sch EV-TOU  TSM'!Print_Titles</vt:lpstr>
      <vt:lpstr>'Sch EV-TOU -2 TSM'!Print_Titles</vt:lpstr>
      <vt:lpstr>'Sch TOU-A TSM'!Print_Titles</vt:lpstr>
      <vt:lpstr>'Sch TOU-DR TSM'!Print_Titles</vt:lpstr>
      <vt:lpstr>'Sm Comm Cust Fcst'!Print_Titles</vt:lpstr>
      <vt:lpstr>'Total Customers'!Print_Titles</vt:lpstr>
    </vt:vector>
  </TitlesOfParts>
  <Manager>Bob Hansen</Manager>
  <Company>SDG&amp;E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Electric Custmer LRMC Model</dc:title>
  <dc:subject>TY 08 GRC Phase 2</dc:subject>
  <dc:creator>Jim Parsons</dc:creator>
  <cp:lastModifiedBy>Saxe, William</cp:lastModifiedBy>
  <cp:lastPrinted>2015-12-10T22:22:54Z</cp:lastPrinted>
  <dcterms:created xsi:type="dcterms:W3CDTF">2003-01-17T18:48:38Z</dcterms:created>
  <dcterms:modified xsi:type="dcterms:W3CDTF">2020-01-13T22:19:31Z</dcterms:modified>
</cp:coreProperties>
</file>